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EstaPastaDeTrabalho"/>
  <mc:AlternateContent xmlns:mc="http://schemas.openxmlformats.org/markup-compatibility/2006">
    <mc:Choice Requires="x15">
      <x15ac:absPath xmlns:x15ac="http://schemas.microsoft.com/office/spreadsheetml/2010/11/ac" url="https://caixa-my.sharepoint.com/personal/c157771_corp_caixa_gov_br/Documents/Área de Trabalho/"/>
    </mc:Choice>
  </mc:AlternateContent>
  <xr:revisionPtr revIDLastSave="0" documentId="8_{7B825367-2379-4F23-BA97-75B136501F28}" xr6:coauthVersionLast="47" xr6:coauthVersionMax="47" xr10:uidLastSave="{00000000-0000-0000-0000-000000000000}"/>
  <bookViews>
    <workbookView xWindow="-120" yWindow="-120" windowWidth="29040" windowHeight="15720" firstSheet="1" activeTab="1" xr2:uid="{FA3E8790-7999-4032-B1AD-09F39AF42A06}"/>
  </bookViews>
  <sheets>
    <sheet name="NovoLVT" sheetId="1" r:id="rId1"/>
    <sheet name="AvaliaLVT" sheetId="2" r:id="rId2"/>
    <sheet name="BD_LVT" sheetId="3" r:id="rId3"/>
    <sheet name="Empresas" sheetId="4" r:id="rId4"/>
    <sheet name="Ver_Avaliação" sheetId="5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" i="5" l="1"/>
  <c r="F13" i="2"/>
  <c r="H2" i="3"/>
  <c r="B19" i="1"/>
  <c r="K5" i="2"/>
  <c r="B84" i="2" s="1"/>
  <c r="L28" i="5"/>
  <c r="G73" i="5" s="1"/>
  <c r="L63" i="5"/>
  <c r="W73" i="5" s="1"/>
  <c r="L61" i="5"/>
  <c r="V73" i="5" s="1"/>
  <c r="L52" i="5"/>
  <c r="S73" i="5" s="1"/>
  <c r="L50" i="5"/>
  <c r="R73" i="5" s="1"/>
  <c r="L48" i="5"/>
  <c r="Q73" i="5" s="1"/>
  <c r="L44" i="5"/>
  <c r="O73" i="5" s="1"/>
  <c r="L40" i="5"/>
  <c r="M73" i="5" s="1"/>
  <c r="L36" i="5"/>
  <c r="K73" i="5" s="1"/>
  <c r="L32" i="5"/>
  <c r="I73" i="5" s="1"/>
  <c r="B86" i="2"/>
  <c r="L59" i="5"/>
  <c r="U73" i="5" s="1"/>
  <c r="L54" i="5"/>
  <c r="T73" i="5" s="1"/>
  <c r="L46" i="5"/>
  <c r="P73" i="5" s="1"/>
  <c r="L42" i="5"/>
  <c r="N73" i="5" s="1"/>
  <c r="L38" i="5"/>
  <c r="L73" i="5" s="1"/>
  <c r="L34" i="5"/>
  <c r="J73" i="5" s="1"/>
  <c r="L30" i="5"/>
  <c r="B32" i="5" s="1"/>
  <c r="L26" i="5"/>
  <c r="F73" i="5" s="1"/>
  <c r="L24" i="5"/>
  <c r="E73" i="5" s="1"/>
  <c r="L22" i="5"/>
  <c r="B24" i="5" s="1"/>
  <c r="F17" i="5"/>
  <c r="C73" i="5" s="1"/>
  <c r="F15" i="5"/>
  <c r="B73" i="5" s="1"/>
  <c r="K5" i="5"/>
  <c r="L13" i="5"/>
  <c r="A73" i="5" s="1"/>
  <c r="I39" i="1"/>
  <c r="B32" i="2"/>
  <c r="K5" i="1" a="1"/>
  <c r="K5" i="1" s="1"/>
  <c r="B21" i="1" s="1"/>
  <c r="W73" i="2"/>
  <c r="V73" i="2"/>
  <c r="U73" i="2"/>
  <c r="T73" i="2"/>
  <c r="S73" i="2"/>
  <c r="Q73" i="2"/>
  <c r="P73" i="2"/>
  <c r="O73" i="2"/>
  <c r="N73" i="2"/>
  <c r="M73" i="2"/>
  <c r="L73" i="2"/>
  <c r="K73" i="2"/>
  <c r="J73" i="2"/>
  <c r="I73" i="2"/>
  <c r="H73" i="2"/>
  <c r="G73" i="2"/>
  <c r="F73" i="2"/>
  <c r="E73" i="2"/>
  <c r="D73" i="2"/>
  <c r="C73" i="2"/>
  <c r="B73" i="2"/>
  <c r="R73" i="2"/>
  <c r="B50" i="2"/>
  <c r="B48" i="2"/>
  <c r="B46" i="2"/>
  <c r="B36" i="2"/>
  <c r="B28" i="2"/>
  <c r="B54" i="2"/>
  <c r="B44" i="2"/>
  <c r="B40" i="2"/>
  <c r="B24" i="2"/>
  <c r="B54" i="5" l="1"/>
  <c r="B44" i="5"/>
  <c r="B46" i="5"/>
  <c r="B48" i="5"/>
  <c r="B50" i="5"/>
  <c r="B40" i="5"/>
  <c r="U75" i="5"/>
  <c r="U76" i="5" s="1"/>
  <c r="B36" i="5"/>
  <c r="H73" i="5"/>
  <c r="B28" i="5"/>
  <c r="D73" i="5"/>
  <c r="A75" i="5"/>
  <c r="A76" i="5" s="1"/>
  <c r="L13" i="2"/>
  <c r="A73" i="2" s="1"/>
  <c r="B16" i="1"/>
  <c r="D75" i="5" l="1"/>
  <c r="D76" i="5" s="1"/>
  <c r="A77" i="5" s="1"/>
  <c r="A78" i="5" s="1"/>
  <c r="G8" i="5" s="1"/>
  <c r="A75" i="2"/>
  <c r="A76" i="2" s="1"/>
  <c r="U75" i="2"/>
  <c r="U76" i="2" s="1"/>
  <c r="D75" i="2"/>
  <c r="D76" i="2" s="1"/>
  <c r="A77" i="2" l="1"/>
  <c r="A78" i="2" s="1"/>
  <c r="F39" i="1"/>
  <c r="E39" i="1"/>
  <c r="C39" i="1"/>
  <c r="D39" i="1"/>
  <c r="A39" i="1"/>
  <c r="G39" i="1" l="1"/>
  <c r="H39" i="1"/>
  <c r="B39" i="1"/>
  <c r="G8" i="2"/>
  <c r="B88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<sst xmlns="http://schemas.openxmlformats.org/spreadsheetml/2006/main" count="292" uniqueCount="163">
  <si>
    <t>André Cruzeiro</t>
  </si>
  <si>
    <t>andre-cruzeiro.silva@caixa.gov.br</t>
  </si>
  <si>
    <t>ABA para demandar análise</t>
  </si>
  <si>
    <t xml:space="preserve">Elizabeth </t>
  </si>
  <si>
    <t>elizabeth.vasquez@caixa.gov.br</t>
  </si>
  <si>
    <t>Cristiane</t>
  </si>
  <si>
    <t>cristiane.v.guimaraes@caixa.gov.br</t>
  </si>
  <si>
    <t>Fábio Tenório</t>
  </si>
  <si>
    <t>fabio-costa.oliveira@caixa.gov.br</t>
  </si>
  <si>
    <t>Nome:</t>
  </si>
  <si>
    <t>Técnico responsável (lista automática):</t>
  </si>
  <si>
    <t>Andrea</t>
  </si>
  <si>
    <t>andrea.nicolsky@caixa.gov.br</t>
  </si>
  <si>
    <t>Luiz Sérgio</t>
  </si>
  <si>
    <t>luiz.s.fernandes@caixa.gov.br</t>
  </si>
  <si>
    <t>APF:</t>
  </si>
  <si>
    <t>Caso não queira seguir a ordem, selecione   --&gt;</t>
  </si>
  <si>
    <t>Isabella Hanna</t>
  </si>
  <si>
    <t>isabela.hanna@caixa.gov.br</t>
  </si>
  <si>
    <t>N° Siopi:</t>
  </si>
  <si>
    <t>Construtora:</t>
  </si>
  <si>
    <t>GTJ ENGENHARIA E CONSTRUÇÕES LTDA</t>
  </si>
  <si>
    <t>Envie o email antes de "demandar" --&gt;</t>
  </si>
  <si>
    <t>Email:</t>
  </si>
  <si>
    <t>Para:</t>
  </si>
  <si>
    <t>Cc:</t>
  </si>
  <si>
    <t>gihabrj01@caixa.gov.br; gihabrj04@caixa.gov.br; andressa.tuani@caixa.gov.br</t>
  </si>
  <si>
    <t>Assunto:</t>
  </si>
  <si>
    <t>Texto:</t>
  </si>
  <si>
    <t>Sim</t>
  </si>
  <si>
    <t>Sim, já tem estudo do nível de cheia</t>
  </si>
  <si>
    <t>ABA para avaliar o LVT</t>
  </si>
  <si>
    <t>Não</t>
  </si>
  <si>
    <t>Sim, mas não tem estudos</t>
  </si>
  <si>
    <t>Desconheço</t>
  </si>
  <si>
    <t>Selecione o LVT (nome + SIOPI):</t>
  </si>
  <si>
    <t>Rio Brisas Guadalupe 42312</t>
  </si>
  <si>
    <t>Monitor:</t>
  </si>
  <si>
    <t>ESCALA :</t>
  </si>
  <si>
    <t xml:space="preserve">1.CONSTRUTORA: </t>
  </si>
  <si>
    <t>Construtora (tabela de classificação):</t>
  </si>
  <si>
    <t>Primeira Obra com a Caixa?</t>
  </si>
  <si>
    <t>Registro de problemas em outras obras?</t>
  </si>
  <si>
    <t>2.TERRENO:</t>
  </si>
  <si>
    <t>O terreno está abaixo\acima do greide da via?</t>
  </si>
  <si>
    <t>Há corpo hídrico próximo ao terreno?</t>
  </si>
  <si>
    <t>O empreendimento está locado em um talvegue?</t>
  </si>
  <si>
    <t>Há obras já executadas antes de iniciar o acompanhamento?</t>
  </si>
  <si>
    <t>Há presença de talude representativo (Ex: &gt; 4m) (Ex: &gt;60°)?</t>
  </si>
  <si>
    <t>Há histórico\observação de alagamento no terreno e região?</t>
  </si>
  <si>
    <t xml:space="preserve">Há percepção de baixa capacidade de suporte do solo? </t>
  </si>
  <si>
    <t>3.PROJETO:</t>
  </si>
  <si>
    <t xml:space="preserve"> A construtora tem habilidade com a tipologia da edificação (casas / prédios)?</t>
  </si>
  <si>
    <t>A edificação possui subsolo?</t>
  </si>
  <si>
    <t>A construtora está levando em consideração o afastmento das edificações à taludes e contenções?</t>
  </si>
  <si>
    <t>CONSTRUTORA</t>
  </si>
  <si>
    <t>TERRENO</t>
  </si>
  <si>
    <t>PROJETO</t>
  </si>
  <si>
    <t xml:space="preserve">Risco </t>
  </si>
  <si>
    <t>MUITO ALTO</t>
  </si>
  <si>
    <t>&gt;80</t>
  </si>
  <si>
    <t>ALTO</t>
  </si>
  <si>
    <t>60&lt;x&lt;80</t>
  </si>
  <si>
    <t>MÉDIO</t>
  </si>
  <si>
    <t>40&lt;x&lt;60</t>
  </si>
  <si>
    <t>BAIXO</t>
  </si>
  <si>
    <t>20&lt;x&lt;40</t>
  </si>
  <si>
    <t>MUITO BAIXO</t>
  </si>
  <si>
    <t>x&lt;20</t>
  </si>
  <si>
    <t>Nome</t>
  </si>
  <si>
    <t>Nome+SIOPI</t>
  </si>
  <si>
    <t>n°SIOPI</t>
  </si>
  <si>
    <t>APF</t>
  </si>
  <si>
    <t>Monitor</t>
  </si>
  <si>
    <t>Data da Demanda</t>
  </si>
  <si>
    <t>Prazo LVT</t>
  </si>
  <si>
    <t>Prazo análise</t>
  </si>
  <si>
    <t>Construtora</t>
  </si>
  <si>
    <t>Risco</t>
  </si>
  <si>
    <t>Alpes Residence</t>
  </si>
  <si>
    <t>Alpes Residence 55036</t>
  </si>
  <si>
    <t>COLISEU</t>
  </si>
  <si>
    <t>RISCO BAIXO</t>
  </si>
  <si>
    <t>Melgaço 2</t>
  </si>
  <si>
    <t>Melgaço 2 54402</t>
  </si>
  <si>
    <t>Melgaço 3</t>
  </si>
  <si>
    <t>Melgaço 3 54404</t>
  </si>
  <si>
    <t>Rio Brisas Guadalupe</t>
  </si>
  <si>
    <t>0627534-39</t>
  </si>
  <si>
    <t>Erika</t>
  </si>
  <si>
    <t>CONQUEST</t>
  </si>
  <si>
    <t>Bosque da Mata</t>
  </si>
  <si>
    <t>Bosque da Mata 57702</t>
  </si>
  <si>
    <t>0646580</t>
  </si>
  <si>
    <t>8 GESTÃO</t>
  </si>
  <si>
    <t>E</t>
  </si>
  <si>
    <t>ANV</t>
  </si>
  <si>
    <t>D</t>
  </si>
  <si>
    <t>ARKCON</t>
  </si>
  <si>
    <t>ARZU</t>
  </si>
  <si>
    <t>BORGES E GOMES</t>
  </si>
  <si>
    <t>BRZ</t>
  </si>
  <si>
    <t>A</t>
  </si>
  <si>
    <t>CAC</t>
  </si>
  <si>
    <t>CASA CERTA</t>
  </si>
  <si>
    <t>CB2</t>
  </si>
  <si>
    <t>C</t>
  </si>
  <si>
    <t>CEARAH</t>
  </si>
  <si>
    <t>CELTA ENGENHARIA S/A</t>
  </si>
  <si>
    <t>B</t>
  </si>
  <si>
    <t>COLARES LINHARES</t>
  </si>
  <si>
    <t>CONATA</t>
  </si>
  <si>
    <t>CRESCER</t>
  </si>
  <si>
    <t>CSM</t>
  </si>
  <si>
    <t>CTV</t>
  </si>
  <si>
    <t>DC4</t>
  </si>
  <si>
    <t>DIMENSIONAL</t>
  </si>
  <si>
    <t>ELETRODATA</t>
  </si>
  <si>
    <t>EMPRAS</t>
  </si>
  <si>
    <t>ENGEFIC</t>
  </si>
  <si>
    <t>EÓLICA</t>
  </si>
  <si>
    <t xml:space="preserve">GTJ  </t>
  </si>
  <si>
    <t>INCORFAST</t>
  </si>
  <si>
    <t>JERONIMO DA VEIGA</t>
  </si>
  <si>
    <t>LAGE</t>
  </si>
  <si>
    <t>LM2</t>
  </si>
  <si>
    <t>LOREM</t>
  </si>
  <si>
    <t>MAIS LAR</t>
  </si>
  <si>
    <t>MAKING</t>
  </si>
  <si>
    <t>MD OITO</t>
  </si>
  <si>
    <t>MNLM</t>
  </si>
  <si>
    <t>MP BASTOS</t>
  </si>
  <si>
    <t>MP INCORPORAÇÕES</t>
  </si>
  <si>
    <t>MURANO / ABSOLUTO ENG.</t>
  </si>
  <si>
    <t>NOVA PRIMUS</t>
  </si>
  <si>
    <t>NURRA</t>
  </si>
  <si>
    <t>OC CONSTRUÇÕES</t>
  </si>
  <si>
    <t>OCEANO</t>
  </si>
  <si>
    <t>OMEGA</t>
  </si>
  <si>
    <t>ÔMEGA RIO</t>
  </si>
  <si>
    <t>PREMIO</t>
  </si>
  <si>
    <t>R MANCANO</t>
  </si>
  <si>
    <t xml:space="preserve">R. FRANCO ENGENHARIA </t>
  </si>
  <si>
    <t>RB RIO CONSTRUTORA LTDA</t>
  </si>
  <si>
    <t>RBV</t>
  </si>
  <si>
    <t>RDR</t>
  </si>
  <si>
    <t>RECO</t>
  </si>
  <si>
    <t>RIVIERA</t>
  </si>
  <si>
    <t>SCARPATI</t>
  </si>
  <si>
    <t>TECCONSTRU</t>
  </si>
  <si>
    <t>TEKRON</t>
  </si>
  <si>
    <t>TERRA</t>
  </si>
  <si>
    <t>VALENTE</t>
  </si>
  <si>
    <t>VENTO SUL</t>
  </si>
  <si>
    <t>VENTO SUL DOMA</t>
  </si>
  <si>
    <t>VIA BRASIL</t>
  </si>
  <si>
    <t>VIC</t>
  </si>
  <si>
    <t>VISIONE</t>
  </si>
  <si>
    <t>VITALE</t>
  </si>
  <si>
    <t>VOCÊ</t>
  </si>
  <si>
    <t>WGM</t>
  </si>
  <si>
    <t>Ver a avaliação do LVT</t>
  </si>
  <si>
    <t>PROJETO: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</si>
</sst>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ptos Narrow"/>
      <family val="2"/>
      <scheme val="minor"/>
    </font>
    <font>
      <sz val="24"/>
      <color theme="4" tint="-0.249977111117893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theme="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u/>
      <sz val="11"/>
      <color theme="0"/>
      <name val="Aptos Narrow"/>
      <family val="2"/>
      <scheme val="minor"/>
    </font>
    <font>
      <sz val="10.5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0"/>
      <name val="Aptos Narrow"/>
      <family val="2"/>
      <scheme val="minor"/>
    </font>
    <font>
      <sz val="10"/>
      <color theme="0"/>
      <name val="Aptos Narrow"/>
      <family val="2"/>
      <scheme val="minor"/>
    </font>
    <font>
      <sz val="11"/>
      <color theme="0" tint="-0.249977111117893"/>
      <name val="Aptos Narrow"/>
      <family val="2"/>
      <scheme val="minor"/>
    </font>
    <font>
      <sz val="11"/>
      <color rgb="FF000000"/>
      <name val="Aptos Narrow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3" tint="9.9948118533890809E-2"/>
      </left>
      <right/>
      <top style="thin">
        <color theme="3" tint="9.9948118533890809E-2"/>
      </top>
      <bottom/>
      <diagonal/>
    </border>
    <border>
      <left/>
      <right/>
      <top style="thin">
        <color theme="3" tint="9.9948118533890809E-2"/>
      </top>
      <bottom/>
      <diagonal/>
    </border>
    <border>
      <left/>
      <right style="thin">
        <color theme="3" tint="9.9948118533890809E-2"/>
      </right>
      <top style="thin">
        <color theme="3" tint="9.9948118533890809E-2"/>
      </top>
      <bottom/>
      <diagonal/>
    </border>
    <border>
      <left style="thin">
        <color theme="3" tint="9.9948118533890809E-2"/>
      </left>
      <right/>
      <top/>
      <bottom/>
      <diagonal/>
    </border>
    <border>
      <left/>
      <right style="thin">
        <color theme="3" tint="9.9948118533890809E-2"/>
      </right>
      <top/>
      <bottom/>
      <diagonal/>
    </border>
    <border>
      <left style="thin">
        <color theme="3" tint="9.9948118533890809E-2"/>
      </left>
      <right/>
      <top style="thin">
        <color indexed="64"/>
      </top>
      <bottom/>
      <diagonal/>
    </border>
    <border>
      <left style="thin">
        <color theme="3" tint="9.9948118533890809E-2"/>
      </left>
      <right/>
      <top/>
      <bottom style="thin">
        <color theme="3" tint="9.9948118533890809E-2"/>
      </bottom>
      <diagonal/>
    </border>
    <border>
      <left/>
      <right/>
      <top/>
      <bottom style="thin">
        <color theme="3" tint="9.9948118533890809E-2"/>
      </bottom>
      <diagonal/>
    </border>
    <border>
      <left/>
      <right style="thin">
        <color theme="3" tint="9.9948118533890809E-2"/>
      </right>
      <top/>
      <bottom style="thin">
        <color theme="3" tint="9.9948118533890809E-2"/>
      </bottom>
      <diagonal/>
    </border>
    <border>
      <left style="thin">
        <color theme="9" tint="-0.24994659260841701"/>
      </left>
      <right/>
      <top style="thin">
        <color theme="9" tint="-0.24994659260841701"/>
      </top>
      <bottom/>
      <diagonal/>
    </border>
    <border>
      <left/>
      <right/>
      <top style="thin">
        <color theme="9" tint="-0.24994659260841701"/>
      </top>
      <bottom/>
      <diagonal/>
    </border>
    <border>
      <left/>
      <right style="thin">
        <color theme="9" tint="-0.24994659260841701"/>
      </right>
      <top style="thin">
        <color theme="9" tint="-0.24994659260841701"/>
      </top>
      <bottom/>
      <diagonal/>
    </border>
    <border>
      <left style="thin">
        <color theme="9" tint="-0.24994659260841701"/>
      </left>
      <right/>
      <top/>
      <bottom/>
      <diagonal/>
    </border>
    <border>
      <left/>
      <right style="thin">
        <color theme="9" tint="-0.24994659260841701"/>
      </right>
      <top/>
      <bottom/>
      <diagonal/>
    </border>
    <border>
      <left style="thin">
        <color theme="9" tint="-0.24994659260841701"/>
      </left>
      <right/>
      <top/>
      <bottom style="thin">
        <color theme="9" tint="-0.24994659260841701"/>
      </bottom>
      <diagonal/>
    </border>
    <border>
      <left/>
      <right/>
      <top/>
      <bottom style="thin">
        <color theme="9" tint="-0.24994659260841701"/>
      </bottom>
      <diagonal/>
    </border>
    <border>
      <left/>
      <right style="thin">
        <color theme="9" tint="-0.24994659260841701"/>
      </right>
      <top/>
      <bottom style="thin">
        <color theme="9" tint="-0.24994659260841701"/>
      </bottom>
      <diagonal/>
    </border>
    <border>
      <left style="thin">
        <color theme="6"/>
      </left>
      <right/>
      <top style="thin">
        <color theme="6"/>
      </top>
      <bottom/>
      <diagonal/>
    </border>
    <border>
      <left/>
      <right/>
      <top style="thin">
        <color theme="6"/>
      </top>
      <bottom/>
      <diagonal/>
    </border>
    <border>
      <left/>
      <right style="thin">
        <color theme="6"/>
      </right>
      <top style="thin">
        <color theme="6"/>
      </top>
      <bottom/>
      <diagonal/>
    </border>
    <border>
      <left style="thin">
        <color theme="6"/>
      </left>
      <right/>
      <top/>
      <bottom/>
      <diagonal/>
    </border>
    <border>
      <left/>
      <right style="thin">
        <color theme="6"/>
      </right>
      <top/>
      <bottom/>
      <diagonal/>
    </border>
    <border>
      <left style="thin">
        <color theme="6"/>
      </left>
      <right/>
      <top/>
      <bottom style="thin">
        <color theme="6"/>
      </bottom>
      <diagonal/>
    </border>
    <border>
      <left/>
      <right/>
      <top/>
      <bottom style="thin">
        <color theme="6"/>
      </bottom>
      <diagonal/>
    </border>
    <border>
      <left/>
      <right style="thin">
        <color theme="6"/>
      </right>
      <top/>
      <bottom style="thin">
        <color theme="6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10">
    <xf numFmtId="0" fontId="0" fillId="0" borderId="0" xfId="0"/>
    <xf numFmtId="0" fontId="0" fillId="2" borderId="0" xfId="0" applyFill="1"/>
    <xf numFmtId="0" fontId="0" fillId="2" borderId="8" xfId="0" applyFill="1" applyBorder="1"/>
    <xf numFmtId="0" fontId="0" fillId="2" borderId="15" xfId="0" applyFill="1" applyBorder="1"/>
    <xf numFmtId="0" fontId="0" fillId="2" borderId="16" xfId="0" applyFill="1" applyBorder="1"/>
    <xf numFmtId="0" fontId="0" fillId="0" borderId="0" xfId="0" applyAlignment="1">
      <alignment horizontal="center"/>
    </xf>
    <xf numFmtId="0" fontId="0" fillId="2" borderId="21" xfId="0" applyFill="1" applyBorder="1"/>
    <xf numFmtId="0" fontId="0" fillId="2" borderId="22" xfId="0" applyFill="1" applyBorder="1"/>
    <xf numFmtId="0" fontId="0" fillId="2" borderId="23" xfId="0" applyFill="1" applyBorder="1"/>
    <xf numFmtId="0" fontId="0" fillId="2" borderId="24" xfId="0" applyFill="1" applyBorder="1"/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8" xfId="0" applyFill="1" applyBorder="1"/>
    <xf numFmtId="0" fontId="0" fillId="2" borderId="29" xfId="0" applyFill="1" applyBorder="1"/>
    <xf numFmtId="0" fontId="0" fillId="2" borderId="30" xfId="0" applyFill="1" applyBorder="1"/>
    <xf numFmtId="0" fontId="0" fillId="2" borderId="31" xfId="0" applyFill="1" applyBorder="1"/>
    <xf numFmtId="0" fontId="0" fillId="2" borderId="32" xfId="0" applyFill="1" applyBorder="1"/>
    <xf numFmtId="0" fontId="0" fillId="2" borderId="33" xfId="0" applyFill="1" applyBorder="1"/>
    <xf numFmtId="0" fontId="0" fillId="2" borderId="34" xfId="0" applyFill="1" applyBorder="1"/>
    <xf numFmtId="0" fontId="0" fillId="2" borderId="35" xfId="0" applyFill="1" applyBorder="1"/>
    <xf numFmtId="0" fontId="0" fillId="2" borderId="36" xfId="0" applyFill="1" applyBorder="1"/>
    <xf numFmtId="0" fontId="0" fillId="2" borderId="10" xfId="0" applyFill="1" applyBorder="1"/>
    <xf numFmtId="0" fontId="0" fillId="2" borderId="11" xfId="0" applyFill="1" applyBorder="1"/>
    <xf numFmtId="0" fontId="3" fillId="2" borderId="0" xfId="0" applyFont="1" applyFill="1"/>
    <xf numFmtId="0" fontId="5" fillId="2" borderId="0" xfId="1" applyFont="1" applyFill="1"/>
    <xf numFmtId="0" fontId="2" fillId="2" borderId="0" xfId="0" applyFont="1" applyFill="1"/>
    <xf numFmtId="0" fontId="0" fillId="2" borderId="0" xfId="0" applyFill="1" applyAlignment="1">
      <alignment horizontal="center"/>
    </xf>
    <xf numFmtId="0" fontId="0" fillId="2" borderId="24" xfId="0" applyFill="1" applyBorder="1" applyAlignment="1">
      <alignment vertical="top" wrapText="1"/>
    </xf>
    <xf numFmtId="0" fontId="0" fillId="2" borderId="0" xfId="0" applyFill="1" applyAlignment="1">
      <alignment vertical="top" wrapText="1"/>
    </xf>
    <xf numFmtId="0" fontId="0" fillId="2" borderId="24" xfId="0" applyFill="1" applyBorder="1" applyAlignment="1">
      <alignment horizontal="left" vertical="top"/>
    </xf>
    <xf numFmtId="0" fontId="6" fillId="2" borderId="0" xfId="0" applyFont="1" applyFill="1"/>
    <xf numFmtId="0" fontId="7" fillId="2" borderId="0" xfId="0" applyFont="1" applyFill="1"/>
    <xf numFmtId="0" fontId="0" fillId="2" borderId="0" xfId="0" applyFill="1" applyAlignment="1">
      <alignment wrapText="1"/>
    </xf>
    <xf numFmtId="0" fontId="8" fillId="2" borderId="0" xfId="0" applyFont="1" applyFill="1"/>
    <xf numFmtId="0" fontId="7" fillId="2" borderId="18" xfId="0" applyFont="1" applyFill="1" applyBorder="1"/>
    <xf numFmtId="0" fontId="7" fillId="2" borderId="19" xfId="0" applyFont="1" applyFill="1" applyBorder="1"/>
    <xf numFmtId="0" fontId="7" fillId="2" borderId="20" xfId="0" applyFont="1" applyFill="1" applyBorder="1"/>
    <xf numFmtId="0" fontId="9" fillId="2" borderId="0" xfId="0" applyFont="1" applyFill="1"/>
    <xf numFmtId="14" fontId="3" fillId="2" borderId="0" xfId="0" applyNumberFormat="1" applyFont="1" applyFill="1"/>
    <xf numFmtId="0" fontId="0" fillId="5" borderId="0" xfId="0" applyFill="1"/>
    <xf numFmtId="0" fontId="0" fillId="5" borderId="8" xfId="0" applyFill="1" applyBorder="1"/>
    <xf numFmtId="0" fontId="0" fillId="5" borderId="29" xfId="0" applyFill="1" applyBorder="1"/>
    <xf numFmtId="0" fontId="0" fillId="5" borderId="30" xfId="0" applyFill="1" applyBorder="1"/>
    <xf numFmtId="0" fontId="0" fillId="5" borderId="31" xfId="0" applyFill="1" applyBorder="1"/>
    <xf numFmtId="0" fontId="0" fillId="5" borderId="32" xfId="0" applyFill="1" applyBorder="1"/>
    <xf numFmtId="0" fontId="0" fillId="5" borderId="33" xfId="0" applyFill="1" applyBorder="1"/>
    <xf numFmtId="0" fontId="0" fillId="5" borderId="34" xfId="0" applyFill="1" applyBorder="1"/>
    <xf numFmtId="0" fontId="0" fillId="5" borderId="35" xfId="0" applyFill="1" applyBorder="1"/>
    <xf numFmtId="0" fontId="0" fillId="5" borderId="36" xfId="0" applyFill="1" applyBorder="1"/>
    <xf numFmtId="0" fontId="0" fillId="5" borderId="21" xfId="0" applyFill="1" applyBorder="1"/>
    <xf numFmtId="0" fontId="0" fillId="5" borderId="22" xfId="0" applyFill="1" applyBorder="1"/>
    <xf numFmtId="0" fontId="0" fillId="5" borderId="23" xfId="0" applyFill="1" applyBorder="1"/>
    <xf numFmtId="0" fontId="0" fillId="5" borderId="24" xfId="0" applyFill="1" applyBorder="1" applyAlignment="1">
      <alignment horizontal="left" vertical="top"/>
    </xf>
    <xf numFmtId="0" fontId="0" fillId="5" borderId="0" xfId="0" applyFill="1" applyAlignment="1">
      <alignment vertical="top" wrapText="1"/>
    </xf>
    <xf numFmtId="0" fontId="0" fillId="5" borderId="25" xfId="0" applyFill="1" applyBorder="1"/>
    <xf numFmtId="0" fontId="0" fillId="5" borderId="0" xfId="0" applyFill="1" applyAlignment="1">
      <alignment horizontal="center"/>
    </xf>
    <xf numFmtId="0" fontId="0" fillId="5" borderId="24" xfId="0" applyFill="1" applyBorder="1" applyAlignment="1">
      <alignment vertical="top" wrapText="1"/>
    </xf>
    <xf numFmtId="0" fontId="6" fillId="5" borderId="0" xfId="0" applyFont="1" applyFill="1"/>
    <xf numFmtId="0" fontId="0" fillId="5" borderId="24" xfId="0" applyFill="1" applyBorder="1"/>
    <xf numFmtId="0" fontId="0" fillId="5" borderId="27" xfId="0" applyFill="1" applyBorder="1"/>
    <xf numFmtId="0" fontId="0" fillId="5" borderId="28" xfId="0" applyFill="1" applyBorder="1"/>
    <xf numFmtId="0" fontId="0" fillId="5" borderId="26" xfId="0" applyFill="1" applyBorder="1"/>
    <xf numFmtId="0" fontId="0" fillId="5" borderId="10" xfId="0" applyFill="1" applyBorder="1"/>
    <xf numFmtId="0" fontId="0" fillId="5" borderId="11" xfId="0" applyFill="1" applyBorder="1"/>
    <xf numFmtId="0" fontId="10" fillId="5" borderId="0" xfId="0" applyFont="1" applyFill="1"/>
    <xf numFmtId="14" fontId="0" fillId="0" borderId="0" xfId="0" applyNumberFormat="1" applyAlignment="1">
      <alignment horizontal="center"/>
    </xf>
    <xf numFmtId="0" fontId="3" fillId="2" borderId="0" xfId="0" applyFont="1" applyFill="1" applyAlignment="1">
      <alignment horizontal="center"/>
    </xf>
    <xf numFmtId="0" fontId="7" fillId="2" borderId="26" xfId="0" applyFont="1" applyFill="1" applyBorder="1"/>
    <xf numFmtId="0" fontId="7" fillId="2" borderId="27" xfId="0" applyFont="1" applyFill="1" applyBorder="1"/>
    <xf numFmtId="0" fontId="7" fillId="2" borderId="28" xfId="0" applyFont="1" applyFill="1" applyBorder="1"/>
    <xf numFmtId="0" fontId="0" fillId="2" borderId="1" xfId="0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0" fillId="2" borderId="5" xfId="0" applyFill="1" applyBorder="1" applyAlignment="1">
      <alignment horizontal="left" vertical="center" wrapText="1"/>
    </xf>
    <xf numFmtId="0" fontId="0" fillId="2" borderId="4" xfId="0" applyFill="1" applyBorder="1" applyAlignment="1">
      <alignment horizontal="left" vertical="center" wrapText="1"/>
    </xf>
    <xf numFmtId="0" fontId="0" fillId="2" borderId="6" xfId="0" applyFill="1" applyBorder="1" applyAlignment="1">
      <alignment horizontal="left" vertical="center" wrapText="1"/>
    </xf>
    <xf numFmtId="0" fontId="0" fillId="2" borderId="7" xfId="0" applyFill="1" applyBorder="1" applyAlignment="1">
      <alignment horizontal="left" vertical="center" wrapText="1"/>
    </xf>
    <xf numFmtId="0" fontId="0" fillId="2" borderId="0" xfId="0" applyFill="1" applyAlignment="1">
      <alignment horizontal="left" vertical="center" wrapText="1"/>
    </xf>
    <xf numFmtId="0" fontId="0" fillId="2" borderId="8" xfId="0" applyFill="1" applyBorder="1" applyAlignment="1">
      <alignment horizontal="left" vertical="center" wrapText="1"/>
    </xf>
    <xf numFmtId="0" fontId="0" fillId="2" borderId="9" xfId="0" applyFill="1" applyBorder="1" applyAlignment="1">
      <alignment horizontal="left" vertical="center" wrapText="1"/>
    </xf>
    <xf numFmtId="0" fontId="0" fillId="2" borderId="10" xfId="0" applyFill="1" applyBorder="1" applyAlignment="1">
      <alignment horizontal="left" vertical="center" wrapText="1"/>
    </xf>
    <xf numFmtId="0" fontId="0" fillId="2" borderId="11" xfId="0" applyFill="1" applyBorder="1" applyAlignment="1">
      <alignment horizontal="left" vertical="center" wrapText="1"/>
    </xf>
    <xf numFmtId="0" fontId="1" fillId="2" borderId="12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1" fillId="2" borderId="14" xfId="0" applyFont="1" applyFill="1" applyBorder="1" applyAlignment="1">
      <alignment horizontal="center"/>
    </xf>
    <xf numFmtId="49" fontId="0" fillId="2" borderId="1" xfId="0" applyNumberFormat="1" applyFill="1" applyBorder="1" applyAlignment="1">
      <alignment horizontal="center"/>
    </xf>
    <xf numFmtId="49" fontId="0" fillId="2" borderId="2" xfId="0" applyNumberFormat="1" applyFill="1" applyBorder="1" applyAlignment="1">
      <alignment horizontal="center"/>
    </xf>
    <xf numFmtId="49" fontId="0" fillId="2" borderId="3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3" borderId="1" xfId="0" applyFill="1" applyBorder="1" applyAlignment="1">
      <alignment horizontal="center" wrapText="1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7" fillId="2" borderId="0" xfId="0" applyFont="1" applyFill="1" applyAlignment="1">
      <alignment horizontal="center"/>
    </xf>
    <xf numFmtId="9" fontId="7" fillId="2" borderId="0" xfId="0" applyNumberFormat="1" applyFont="1" applyFill="1" applyAlignment="1">
      <alignment horizontal="center"/>
    </xf>
    <xf numFmtId="0" fontId="0" fillId="4" borderId="0" xfId="0" applyFill="1" applyAlignment="1">
      <alignment horizontal="center"/>
    </xf>
    <xf numFmtId="0" fontId="1" fillId="2" borderId="17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0" fillId="3" borderId="1" xfId="0" applyFill="1" applyBorder="1" applyAlignment="1">
      <alignment horizontal="center"/>
    </xf>
    <xf numFmtId="9" fontId="3" fillId="2" borderId="0" xfId="0" applyNumberFormat="1" applyFont="1" applyFill="1" applyAlignment="1">
      <alignment horizontal="center"/>
    </xf>
    <xf numFmtId="0" fontId="1" fillId="6" borderId="17" xfId="0" applyFont="1" applyFill="1" applyBorder="1" applyAlignment="1">
      <alignment horizontal="center"/>
    </xf>
    <xf numFmtId="0" fontId="1" fillId="6" borderId="4" xfId="0" applyFont="1" applyFill="1" applyBorder="1" applyAlignment="1">
      <alignment horizontal="center"/>
    </xf>
    <xf numFmtId="0" fontId="1" fillId="6" borderId="6" xfId="0" applyFont="1" applyFill="1" applyBorder="1" applyAlignment="1">
      <alignment horizontal="center"/>
    </xf>
    <xf numFmtId="0" fontId="0" fillId="6" borderId="0" xfId="0" applyFill="1" applyAlignment="1">
      <alignment horizontal="center"/>
    </xf>
    <xf numFmtId="0" fontId="0" fillId="5" borderId="1" xfId="0" applyFill="1" applyBorder="1" applyAlignment="1">
      <alignment horizontal="center"/>
    </xf>
    <xf numFmtId="0" fontId="0" fillId="5" borderId="3" xfId="0" applyFill="1" applyBorder="1" applyAlignment="1">
      <alignment horizontal="center"/>
    </xf>
  </cellXfs>
  <cellStyles count="2">
    <cellStyle name="Hiperlink" xfId="1" builtinId="8"/>
    <cellStyle name="Normal" xfId="0" builtinId="0"/>
  </cellStyles>
  <dxfs count="20">
    <dxf>
      <font>
        <b val="0"/>
        <i val="0"/>
        <u val="none"/>
        <color theme="1"/>
      </font>
      <numFmt numFmtId="30" formatCode="@"/>
      <fill>
        <patternFill patternType="solid"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u val="none"/>
        <color theme="1"/>
      </font>
      <numFmt numFmtId="30" formatCode="@"/>
      <fill>
        <patternFill patternType="solid"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u val="none"/>
        <color theme="1"/>
      </font>
      <numFmt numFmtId="30" formatCode="@"/>
      <fill>
        <patternFill patternType="solid"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u val="none"/>
        <color theme="1"/>
      </font>
      <numFmt numFmtId="30" formatCode="@"/>
      <fill>
        <patternFill patternType="solid"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u val="none"/>
        <color theme="1"/>
      </font>
      <numFmt numFmtId="30" formatCode="@"/>
      <fill>
        <patternFill patternType="solid"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u val="none"/>
        <color theme="1"/>
      </font>
      <numFmt numFmtId="30" formatCode="@"/>
      <fill>
        <patternFill patternType="solid"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u val="none"/>
        <color theme="1"/>
      </font>
      <numFmt numFmtId="30" formatCode="@"/>
      <fill>
        <patternFill patternType="solid"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u val="none"/>
        <color theme="1"/>
      </font>
      <numFmt numFmtId="30" formatCode="@"/>
      <fill>
        <patternFill patternType="solid"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u val="none"/>
        <color theme="1"/>
      </font>
      <numFmt numFmtId="30" formatCode="@"/>
      <fill>
        <patternFill patternType="solid"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u val="none"/>
        <color theme="1"/>
      </font>
      <numFmt numFmtId="30" formatCode="@"/>
      <fill>
        <patternFill patternType="solid"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u val="none"/>
        <color theme="1"/>
      </font>
      <numFmt numFmtId="30" formatCode="@"/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u val="none"/>
        <color theme="1"/>
      </font>
      <numFmt numFmtId="30" formatCode="@"/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u val="none"/>
        <color theme="1"/>
      </font>
      <numFmt numFmtId="30" formatCode="@"/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u val="none"/>
        <color theme="1"/>
      </font>
      <numFmt numFmtId="30" formatCode="@"/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u val="none"/>
        <color theme="1"/>
      </font>
      <numFmt numFmtId="30" formatCode="@"/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u val="none"/>
        <color theme="1"/>
      </font>
      <numFmt numFmtId="30" formatCode="@"/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u val="none"/>
        <color theme="1"/>
      </font>
      <numFmt numFmtId="30" formatCode="@"/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u val="none"/>
        <color theme="1"/>
      </font>
      <numFmt numFmtId="30" formatCode="@"/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u val="none"/>
        <color theme="1"/>
      </font>
      <numFmt numFmtId="30" formatCode="@"/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u val="none"/>
        <color theme="1"/>
      </font>
      <numFmt numFmtId="30" formatCode="@"/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133350</xdr:colOff>
          <xdr:row>31</xdr:row>
          <xdr:rowOff>9525</xdr:rowOff>
        </xdr:from>
        <xdr:to>
          <xdr:col>13</xdr:col>
          <xdr:colOff>447675</xdr:colOff>
          <xdr:row>33</xdr:row>
          <xdr:rowOff>171450</xdr:rowOff>
        </xdr:to>
        <xdr:sp macro="" textlink="">
          <xdr:nvSpPr>
            <xdr:cNvPr id="1026" name="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pt-BR" sz="1100" b="0" i="0" u="none" strike="noStrike" baseline="0">
                  <a:solidFill>
                    <a:srgbClr val="000000"/>
                  </a:solidFill>
                  <a:latin typeface="Aptos Narrow"/>
                </a:rPr>
                <a:t>Enviar Email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28575</xdr:colOff>
          <xdr:row>10</xdr:row>
          <xdr:rowOff>66675</xdr:rowOff>
        </xdr:from>
        <xdr:to>
          <xdr:col>13</xdr:col>
          <xdr:colOff>247650</xdr:colOff>
          <xdr:row>12</xdr:row>
          <xdr:rowOff>57150</xdr:rowOff>
        </xdr:to>
        <xdr:sp macro="" textlink="">
          <xdr:nvSpPr>
            <xdr:cNvPr id="1031" name="Button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pt-BR" sz="1100" b="0" i="0" u="none" strike="noStrike" baseline="0">
                  <a:solidFill>
                    <a:srgbClr val="000000"/>
                  </a:solidFill>
                  <a:latin typeface="Aptos Narrow"/>
                </a:rPr>
                <a:t>Demandar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581025</xdr:colOff>
          <xdr:row>66</xdr:row>
          <xdr:rowOff>0</xdr:rowOff>
        </xdr:from>
        <xdr:to>
          <xdr:col>14</xdr:col>
          <xdr:colOff>180975</xdr:colOff>
          <xdr:row>68</xdr:row>
          <xdr:rowOff>76200</xdr:rowOff>
        </xdr:to>
        <xdr:sp macro="" textlink="">
          <xdr:nvSpPr>
            <xdr:cNvPr id="2068" name="Button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pt-BR" sz="1100" b="0" i="0" u="none" strike="noStrike" baseline="0">
                  <a:solidFill>
                    <a:srgbClr val="000000"/>
                  </a:solidFill>
                  <a:latin typeface="Aptos Narrow"/>
                </a:rPr>
                <a:t>Registrar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409575</xdr:colOff>
          <xdr:row>101</xdr:row>
          <xdr:rowOff>85725</xdr:rowOff>
        </xdr:from>
        <xdr:to>
          <xdr:col>11</xdr:col>
          <xdr:colOff>0</xdr:colOff>
          <xdr:row>103</xdr:row>
          <xdr:rowOff>133350</xdr:rowOff>
        </xdr:to>
        <xdr:sp macro="" textlink="">
          <xdr:nvSpPr>
            <xdr:cNvPr id="2074" name="Button 26" hidden="1">
              <a:extLst>
                <a:ext uri="{63B3BB69-23CF-44E3-9099-C40C66FF867C}">
                  <a14:compatExt spid="_x0000_s2074"/>
                </a:ext>
                <a:ext uri="{FF2B5EF4-FFF2-40B4-BE49-F238E27FC236}">
                  <a16:creationId xmlns:a16="http://schemas.microsoft.com/office/drawing/2014/main" id="{00000000-0008-0000-0100-00001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pt-BR" sz="1100" b="0" i="0" u="none" strike="noStrike" baseline="0">
                  <a:solidFill>
                    <a:srgbClr val="000000"/>
                  </a:solidFill>
                  <a:latin typeface="Aptos Narrow"/>
                </a:rPr>
                <a:t>Enviar email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1.vml"/><Relationship Id="rId3" Type="http://schemas.openxmlformats.org/officeDocument/2006/relationships/hyperlink" Target="mailto:fabio-costa.oliveira@caixa.gov.br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mailto:elizabeth.vasquez@caixa.gov.br" TargetMode="External"/><Relationship Id="rId1" Type="http://schemas.openxmlformats.org/officeDocument/2006/relationships/hyperlink" Target="mailto:andre-cruzeiro.silva@caixa.gov.br" TargetMode="External"/><Relationship Id="rId6" Type="http://schemas.openxmlformats.org/officeDocument/2006/relationships/hyperlink" Target="mailto:isabela.hanna@caixa.gov.br" TargetMode="External"/><Relationship Id="rId5" Type="http://schemas.openxmlformats.org/officeDocument/2006/relationships/hyperlink" Target="mailto:luiz.s.fernandes@caixa.gov.br" TargetMode="External"/><Relationship Id="rId10" Type="http://schemas.openxmlformats.org/officeDocument/2006/relationships/ctrlProp" Target="../ctrlProps/ctrlProp2.xml"/><Relationship Id="rId4" Type="http://schemas.openxmlformats.org/officeDocument/2006/relationships/hyperlink" Target="mailto:andrea.nicolsky@caixa.gov.br" TargetMode="External"/><Relationship Id="rId9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444689-58FF-4F17-A4E0-24F159802F7E}">
  <sheetPr codeName="Planilha1"/>
  <dimension ref="A1:Y137"/>
  <sheetViews>
    <sheetView topLeftCell="A21" zoomScaleNormal="100" workbookViewId="0">
      <selection activeCell="K5" sqref="K5:M5"/>
    </sheetView>
  </sheetViews>
  <sheetFormatPr defaultColWidth="0" defaultRowHeight="15" x14ac:dyDescent="0.25"/>
  <cols>
    <col min="1" max="3" width="9.28515625" style="1" bestFit="1" customWidth="1"/>
    <col min="4" max="4" width="9.140625" style="1" customWidth="1"/>
    <col min="5" max="6" width="10.5703125" style="1" bestFit="1" customWidth="1"/>
    <col min="7" max="7" width="10.42578125" style="1" bestFit="1" customWidth="1"/>
    <col min="8" max="8" width="10.28515625" style="1" customWidth="1"/>
    <col min="9" max="14" width="9.140625" style="1" customWidth="1"/>
    <col min="15" max="25" width="0" style="1" hidden="1" customWidth="1"/>
    <col min="26" max="16384" width="9.140625" style="1" hidden="1"/>
  </cols>
  <sheetData>
    <row r="1" spans="1:25" x14ac:dyDescent="0.25">
      <c r="O1" s="32"/>
      <c r="P1" s="32"/>
      <c r="Q1" s="24" t="s">
        <v>0</v>
      </c>
      <c r="R1" s="25" t="s">
        <v>1</v>
      </c>
      <c r="S1" s="32"/>
      <c r="T1" s="32"/>
      <c r="U1" s="32"/>
      <c r="V1" s="32"/>
      <c r="W1" s="32"/>
      <c r="X1" s="32"/>
      <c r="Y1" s="32"/>
    </row>
    <row r="2" spans="1:25" ht="31.5" x14ac:dyDescent="0.5">
      <c r="A2" s="83" t="s">
        <v>2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5"/>
      <c r="O2" s="32"/>
      <c r="P2" s="32"/>
      <c r="Q2" s="24" t="s">
        <v>3</v>
      </c>
      <c r="R2" s="25" t="s">
        <v>4</v>
      </c>
      <c r="S2" s="32"/>
      <c r="T2" s="32"/>
      <c r="U2" s="32"/>
      <c r="V2" s="32"/>
      <c r="W2" s="32"/>
      <c r="X2" s="32"/>
      <c r="Y2" s="32"/>
    </row>
    <row r="3" spans="1:25" x14ac:dyDescent="0.25">
      <c r="A3" s="3"/>
      <c r="N3" s="4"/>
      <c r="O3" s="32"/>
      <c r="P3" s="32"/>
      <c r="Q3" s="24" t="s">
        <v>5</v>
      </c>
      <c r="R3" s="24" t="s">
        <v>6</v>
      </c>
      <c r="S3" s="32"/>
      <c r="T3" s="32"/>
      <c r="U3" s="32"/>
      <c r="V3" s="32"/>
      <c r="W3" s="32"/>
      <c r="X3" s="32"/>
      <c r="Y3" s="32"/>
    </row>
    <row r="4" spans="1:25" x14ac:dyDescent="0.25">
      <c r="A4" s="3"/>
      <c r="N4" s="4"/>
      <c r="O4" s="32"/>
      <c r="P4" s="32"/>
      <c r="Q4" s="24" t="s">
        <v>7</v>
      </c>
      <c r="R4" s="25" t="s">
        <v>8</v>
      </c>
      <c r="S4" s="32"/>
      <c r="T4" s="32"/>
      <c r="U4" s="32"/>
      <c r="V4" s="32"/>
      <c r="W4" s="32"/>
      <c r="X4" s="32"/>
      <c r="Y4" s="32"/>
    </row>
    <row r="5" spans="1:25" x14ac:dyDescent="0.25">
      <c r="A5" s="3" t="s">
        <v>9</v>
      </c>
      <c r="B5" s="89"/>
      <c r="C5" s="90"/>
      <c r="D5" s="91"/>
      <c r="F5" s="1" t="s">
        <v>10</v>
      </c>
      <c r="K5" s="92" t="str" cm="1">
        <f t="array" ref="K5">_xlfn.IFNA(IF(INDEX(BD_LVT!E:E,MATCH(2,1/(BD_LVT!E:E&lt;&gt;"")))=Q7,Q1,INDEX(Q:Q,MATCH(INDEX(BD_LVT!E:E,MATCH(2,1/(BD_LVT!E:E&lt;&gt;""))),Q:Q,0)+1)),"")</f>
        <v>Isabella Hanna</v>
      </c>
      <c r="L5" s="93"/>
      <c r="M5" s="94"/>
      <c r="N5" s="4"/>
      <c r="O5" s="32"/>
      <c r="P5" s="32"/>
      <c r="Q5" s="24" t="s">
        <v>11</v>
      </c>
      <c r="R5" s="25" t="s">
        <v>12</v>
      </c>
      <c r="S5" s="32"/>
      <c r="T5" s="32"/>
      <c r="U5" s="32"/>
      <c r="V5" s="32"/>
      <c r="W5" s="32"/>
      <c r="X5" s="32"/>
      <c r="Y5" s="32"/>
    </row>
    <row r="6" spans="1:25" x14ac:dyDescent="0.25">
      <c r="A6" s="3"/>
      <c r="N6" s="4"/>
      <c r="O6" s="32"/>
      <c r="P6" s="32"/>
      <c r="Q6" s="24" t="s">
        <v>13</v>
      </c>
      <c r="R6" s="25" t="s">
        <v>14</v>
      </c>
      <c r="S6" s="32"/>
      <c r="T6" s="32"/>
      <c r="U6" s="32"/>
      <c r="V6" s="32"/>
      <c r="W6" s="32"/>
      <c r="X6" s="32"/>
      <c r="Y6" s="32"/>
    </row>
    <row r="7" spans="1:25" x14ac:dyDescent="0.25">
      <c r="A7" s="3" t="s">
        <v>15</v>
      </c>
      <c r="B7" s="86"/>
      <c r="C7" s="87"/>
      <c r="D7" s="88"/>
      <c r="F7" s="1" t="s">
        <v>16</v>
      </c>
      <c r="K7" s="89"/>
      <c r="L7" s="90"/>
      <c r="M7" s="91"/>
      <c r="N7" s="4"/>
      <c r="O7" s="32"/>
      <c r="P7" s="32"/>
      <c r="Q7" s="24" t="s">
        <v>17</v>
      </c>
      <c r="R7" s="25" t="s">
        <v>18</v>
      </c>
      <c r="S7" s="32"/>
      <c r="T7" s="32"/>
      <c r="U7" s="32"/>
      <c r="V7" s="32"/>
      <c r="W7" s="32"/>
      <c r="X7" s="32"/>
      <c r="Y7" s="32"/>
    </row>
    <row r="8" spans="1:25" x14ac:dyDescent="0.25">
      <c r="A8" s="3"/>
      <c r="N8" s="4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</row>
    <row r="9" spans="1:25" x14ac:dyDescent="0.25">
      <c r="A9" s="3" t="s">
        <v>19</v>
      </c>
      <c r="B9" s="89"/>
      <c r="C9" s="90"/>
      <c r="D9" s="91"/>
      <c r="N9" s="4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</row>
    <row r="10" spans="1:25" x14ac:dyDescent="0.25">
      <c r="A10" s="3"/>
      <c r="B10" s="27"/>
      <c r="C10" s="27"/>
      <c r="D10" s="27"/>
      <c r="N10" s="4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</row>
    <row r="11" spans="1:25" x14ac:dyDescent="0.25">
      <c r="A11" s="3" t="s">
        <v>20</v>
      </c>
      <c r="C11" s="89" t="s">
        <v>21</v>
      </c>
      <c r="D11" s="90"/>
      <c r="E11" s="91"/>
      <c r="H11" s="33"/>
      <c r="N11" s="4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</row>
    <row r="12" spans="1:25" x14ac:dyDescent="0.25">
      <c r="A12" s="3"/>
      <c r="G12" s="26" t="s">
        <v>22</v>
      </c>
      <c r="N12" s="4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</row>
    <row r="13" spans="1:25" x14ac:dyDescent="0.25">
      <c r="A13" s="3"/>
      <c r="N13" s="4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</row>
    <row r="14" spans="1:25" x14ac:dyDescent="0.25">
      <c r="A14" s="6" t="s">
        <v>23</v>
      </c>
      <c r="B14" s="7"/>
      <c r="C14" s="7"/>
      <c r="D14" s="7"/>
      <c r="E14" s="7"/>
      <c r="F14" s="7"/>
      <c r="G14" s="7"/>
      <c r="H14" s="7"/>
      <c r="I14" s="7"/>
      <c r="J14" s="7"/>
      <c r="K14" s="8"/>
      <c r="N14" s="4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</row>
    <row r="15" spans="1:25" x14ac:dyDescent="0.25">
      <c r="A15" s="9"/>
      <c r="K15" s="10"/>
      <c r="N15" s="4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</row>
    <row r="16" spans="1:25" x14ac:dyDescent="0.25">
      <c r="A16" s="9" t="s">
        <v>24</v>
      </c>
      <c r="B16" s="71" t="str">
        <f>_xlfn.IFNA(VLOOKUP(IF(K7="",K5,K7),Q1:R7,2,0),"")</f>
        <v>isabela.hanna@caixa.gov.br</v>
      </c>
      <c r="C16" s="72"/>
      <c r="D16" s="72"/>
      <c r="E16" s="72"/>
      <c r="F16" s="72"/>
      <c r="G16" s="72"/>
      <c r="H16" s="72"/>
      <c r="I16" s="72"/>
      <c r="J16" s="73"/>
      <c r="K16" s="10"/>
      <c r="N16" s="4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</row>
    <row r="17" spans="1:25" x14ac:dyDescent="0.25">
      <c r="A17" s="9" t="s">
        <v>25</v>
      </c>
      <c r="B17" s="71" t="s">
        <v>26</v>
      </c>
      <c r="C17" s="72"/>
      <c r="D17" s="72"/>
      <c r="E17" s="72"/>
      <c r="F17" s="72"/>
      <c r="G17" s="72"/>
      <c r="H17" s="72"/>
      <c r="I17" s="72"/>
      <c r="J17" s="73"/>
      <c r="K17" s="10"/>
      <c r="N17" s="4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</row>
    <row r="18" spans="1:25" x14ac:dyDescent="0.25">
      <c r="A18" s="9"/>
      <c r="K18" s="10"/>
      <c r="N18" s="4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</row>
    <row r="19" spans="1:25" x14ac:dyDescent="0.25">
      <c r="A19" s="9" t="s">
        <v>27</v>
      </c>
      <c r="B19" s="71" t="str">
        <f>"Demanda de Análise"&amp;" - "&amp;B5&amp;" - "&amp;IF(B7="","Siopi - "&amp;B9,"APF - "&amp;B7)</f>
        <v xml:space="preserve">Demanda de Análise -  - Siopi - </v>
      </c>
      <c r="C19" s="72"/>
      <c r="D19" s="72"/>
      <c r="E19" s="72"/>
      <c r="F19" s="72"/>
      <c r="G19" s="72"/>
      <c r="H19" s="72"/>
      <c r="I19" s="72"/>
      <c r="J19" s="73"/>
      <c r="K19" s="10"/>
      <c r="N19" s="4"/>
    </row>
    <row r="20" spans="1:25" x14ac:dyDescent="0.25">
      <c r="A20" s="9"/>
      <c r="K20" s="10"/>
      <c r="N20" s="4"/>
    </row>
    <row r="21" spans="1:25" ht="26.25" customHeight="1" x14ac:dyDescent="0.25">
      <c r="A21" s="9" t="s">
        <v>28</v>
      </c>
      <c r="B21" s="74" t="str">
        <f ca="1">"Prezad(a\o) "&amp;IF(K7="",K5,K7)&amp;";
"&amp;"
1. Informo que foi demandado a realização de LVT e  Análise "&amp;B5&amp;";"&amp;
"
2. "&amp;IF(B7="",("Número do Siopi (pré-contratação): "&amp;B9),("APF: "&amp;B7))&amp;";
3. O prazo para atendimento do LVT é: "&amp;TEXT((TODAY()+7),"DD/MM/AA")&amp;" e  o prazo para conclusão da análise é: "&amp;TEXT((TODAY()+10),"DD/MM/AA")&amp;"
4. Acesse o arquivo de avaliação para classificação do terreno:
"&amp;"https://caixa.sharepoint.com/:f:/r/sites/Arquivos7891/Documentos%20Compartilhados/Restrito/GIHABRJ03_Andre_Murilo/LVT/Controle%20e%20Avalia%C3%A7%C3%A3o?csf=1&amp;web=1&amp;e=yHs4uO"&amp;"
Clique com o botão direito em cima do arquivo e escolha: Abrir --&gt; Abrir no aplicativo
Atenciosamente;"</f>
        <v>Prezad(a\o) Isabella Hanna;
1. Informo que foi demandado a realização de LVT e  Análise ;
2. Número do Siopi (pré-contratação): ;
3. O prazo para atendimento do LVT é: 07/11/25 e  o prazo para conclusão da análise é: 10/11/25
4. Acesse o arquivo de avaliação para classificação do terreno:
https://caixa.sharepoint.com/:f:/r/sites/Arquivos7891/Documentos%20Compartilhados/Restrito/GIHABRJ03_Andre_Murilo/LVT/Controle%20e%20Avalia%C3%A7%C3%A3o?csf=1&amp;web=1&amp;e=yHs4uO
Clique com o botão direito em cima do arquivo e escolha: Abrir --&gt; Abrir no aplicativo
Atenciosamente;</v>
      </c>
      <c r="C21" s="75"/>
      <c r="D21" s="75"/>
      <c r="E21" s="75"/>
      <c r="F21" s="75"/>
      <c r="G21" s="75"/>
      <c r="H21" s="75"/>
      <c r="I21" s="75"/>
      <c r="J21" s="76"/>
      <c r="K21" s="10"/>
      <c r="N21" s="4"/>
    </row>
    <row r="22" spans="1:25" ht="26.25" customHeight="1" x14ac:dyDescent="0.25">
      <c r="A22" s="9"/>
      <c r="B22" s="77"/>
      <c r="C22" s="78"/>
      <c r="D22" s="78"/>
      <c r="E22" s="78"/>
      <c r="F22" s="78"/>
      <c r="G22" s="78"/>
      <c r="H22" s="78"/>
      <c r="I22" s="78"/>
      <c r="J22" s="79"/>
      <c r="K22" s="10"/>
      <c r="N22" s="4"/>
    </row>
    <row r="23" spans="1:25" ht="26.25" customHeight="1" x14ac:dyDescent="0.25">
      <c r="A23" s="9"/>
      <c r="B23" s="77"/>
      <c r="C23" s="78"/>
      <c r="D23" s="78"/>
      <c r="E23" s="78"/>
      <c r="F23" s="78"/>
      <c r="G23" s="78"/>
      <c r="H23" s="78"/>
      <c r="I23" s="78"/>
      <c r="J23" s="79"/>
      <c r="K23" s="10"/>
      <c r="N23" s="4"/>
    </row>
    <row r="24" spans="1:25" ht="26.25" customHeight="1" x14ac:dyDescent="0.25">
      <c r="A24" s="9"/>
      <c r="B24" s="77"/>
      <c r="C24" s="78"/>
      <c r="D24" s="78"/>
      <c r="E24" s="78"/>
      <c r="F24" s="78"/>
      <c r="G24" s="78"/>
      <c r="H24" s="78"/>
      <c r="I24" s="78"/>
      <c r="J24" s="79"/>
      <c r="K24" s="10"/>
      <c r="N24" s="4"/>
    </row>
    <row r="25" spans="1:25" ht="26.25" customHeight="1" x14ac:dyDescent="0.25">
      <c r="A25" s="9"/>
      <c r="B25" s="77"/>
      <c r="C25" s="78"/>
      <c r="D25" s="78"/>
      <c r="E25" s="78"/>
      <c r="F25" s="78"/>
      <c r="G25" s="78"/>
      <c r="H25" s="78"/>
      <c r="I25" s="78"/>
      <c r="J25" s="79"/>
      <c r="K25" s="10"/>
      <c r="N25" s="4"/>
    </row>
    <row r="26" spans="1:25" ht="26.25" customHeight="1" x14ac:dyDescent="0.25">
      <c r="A26" s="9"/>
      <c r="B26" s="77"/>
      <c r="C26" s="78"/>
      <c r="D26" s="78"/>
      <c r="E26" s="78"/>
      <c r="F26" s="78"/>
      <c r="G26" s="78"/>
      <c r="H26" s="78"/>
      <c r="I26" s="78"/>
      <c r="J26" s="79"/>
      <c r="K26" s="10"/>
      <c r="N26" s="4"/>
    </row>
    <row r="27" spans="1:25" ht="26.25" customHeight="1" x14ac:dyDescent="0.25">
      <c r="A27" s="9"/>
      <c r="B27" s="77"/>
      <c r="C27" s="78"/>
      <c r="D27" s="78"/>
      <c r="E27" s="78"/>
      <c r="F27" s="78"/>
      <c r="G27" s="78"/>
      <c r="H27" s="78"/>
      <c r="I27" s="78"/>
      <c r="J27" s="79"/>
      <c r="K27" s="10"/>
      <c r="N27" s="4"/>
    </row>
    <row r="28" spans="1:25" ht="26.25" customHeight="1" x14ac:dyDescent="0.25">
      <c r="A28" s="9"/>
      <c r="B28" s="77"/>
      <c r="C28" s="78"/>
      <c r="D28" s="78"/>
      <c r="E28" s="78"/>
      <c r="F28" s="78"/>
      <c r="G28" s="78"/>
      <c r="H28" s="78"/>
      <c r="I28" s="78"/>
      <c r="J28" s="79"/>
      <c r="K28" s="10"/>
      <c r="N28" s="4"/>
    </row>
    <row r="29" spans="1:25" ht="26.25" customHeight="1" x14ac:dyDescent="0.25">
      <c r="A29" s="9"/>
      <c r="B29" s="77"/>
      <c r="C29" s="78"/>
      <c r="D29" s="78"/>
      <c r="E29" s="78"/>
      <c r="F29" s="78"/>
      <c r="G29" s="78"/>
      <c r="H29" s="78"/>
      <c r="I29" s="78"/>
      <c r="J29" s="79"/>
      <c r="K29" s="10"/>
      <c r="N29" s="4"/>
    </row>
    <row r="30" spans="1:25" ht="26.25" customHeight="1" x14ac:dyDescent="0.25">
      <c r="A30" s="9"/>
      <c r="B30" s="77"/>
      <c r="C30" s="78"/>
      <c r="D30" s="78"/>
      <c r="E30" s="78"/>
      <c r="F30" s="78"/>
      <c r="G30" s="78"/>
      <c r="H30" s="78"/>
      <c r="I30" s="78"/>
      <c r="J30" s="79"/>
      <c r="K30" s="10"/>
      <c r="N30" s="4"/>
    </row>
    <row r="31" spans="1:25" ht="26.25" customHeight="1" x14ac:dyDescent="0.25">
      <c r="A31" s="9"/>
      <c r="B31" s="77"/>
      <c r="C31" s="78"/>
      <c r="D31" s="78"/>
      <c r="E31" s="78"/>
      <c r="F31" s="78"/>
      <c r="G31" s="78"/>
      <c r="H31" s="78"/>
      <c r="I31" s="78"/>
      <c r="J31" s="79"/>
      <c r="K31" s="10"/>
      <c r="N31" s="4"/>
    </row>
    <row r="32" spans="1:25" ht="26.25" customHeight="1" x14ac:dyDescent="0.25">
      <c r="A32" s="9"/>
      <c r="B32" s="80"/>
      <c r="C32" s="81"/>
      <c r="D32" s="81"/>
      <c r="E32" s="81"/>
      <c r="F32" s="81"/>
      <c r="G32" s="81"/>
      <c r="H32" s="81"/>
      <c r="I32" s="81"/>
      <c r="J32" s="82"/>
      <c r="K32" s="10"/>
      <c r="N32" s="4"/>
    </row>
    <row r="33" spans="1:21" x14ac:dyDescent="0.25">
      <c r="A33" s="9"/>
      <c r="K33" s="10"/>
      <c r="N33" s="4"/>
    </row>
    <row r="34" spans="1:21" x14ac:dyDescent="0.25">
      <c r="A34" s="68"/>
      <c r="B34" s="69"/>
      <c r="C34" s="69"/>
      <c r="D34" s="69"/>
      <c r="E34" s="69"/>
      <c r="F34" s="69"/>
      <c r="G34" s="69"/>
      <c r="H34" s="69"/>
      <c r="I34" s="69"/>
      <c r="J34" s="69"/>
      <c r="K34" s="70"/>
      <c r="L34" s="32"/>
      <c r="M34" s="32"/>
      <c r="N34" s="4"/>
    </row>
    <row r="35" spans="1:21" s="32" customFormat="1" x14ac:dyDescent="0.25">
      <c r="A35" s="35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7"/>
    </row>
    <row r="36" spans="1:21" s="32" customFormat="1" x14ac:dyDescent="0.25"/>
    <row r="37" spans="1:21" s="32" customFormat="1" x14ac:dyDescent="0.25"/>
    <row r="38" spans="1:21" s="32" customFormat="1" x14ac:dyDescent="0.25"/>
    <row r="39" spans="1:21" s="24" customFormat="1" x14ac:dyDescent="0.25">
      <c r="A39" s="24">
        <f>B5</f>
        <v>0</v>
      </c>
      <c r="B39" s="67" t="str">
        <f>A39&amp;" "&amp;C39</f>
        <v>0 0</v>
      </c>
      <c r="C39" s="24">
        <f>B9</f>
        <v>0</v>
      </c>
      <c r="D39" s="24">
        <f>B7</f>
        <v>0</v>
      </c>
      <c r="E39" s="24" t="str">
        <f>IF(K5="",K7,K5)</f>
        <v>Isabella Hanna</v>
      </c>
      <c r="F39" s="39">
        <f ca="1">TODAY()</f>
        <v>45961</v>
      </c>
      <c r="G39" s="39">
        <f ca="1">F39+7</f>
        <v>45968</v>
      </c>
      <c r="H39" s="39">
        <f ca="1">F39+10</f>
        <v>45971</v>
      </c>
      <c r="I39" s="24" t="str">
        <f>C11</f>
        <v>GTJ ENGENHARIA E CONSTRUÇÕES LTDA</v>
      </c>
    </row>
    <row r="40" spans="1:21" s="32" customFormat="1" x14ac:dyDescent="0.25"/>
    <row r="41" spans="1:21" s="32" customFormat="1" x14ac:dyDescent="0.25"/>
    <row r="42" spans="1:21" x14ac:dyDescent="0.25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26"/>
      <c r="O42" s="26"/>
      <c r="P42" s="26"/>
      <c r="Q42" s="26"/>
      <c r="R42" s="26"/>
      <c r="S42" s="26"/>
      <c r="T42" s="26"/>
      <c r="U42" s="26"/>
    </row>
    <row r="43" spans="1:21" x14ac:dyDescent="0.25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26"/>
      <c r="O43" s="26"/>
      <c r="P43" s="26"/>
      <c r="Q43" s="26"/>
      <c r="R43" s="26"/>
      <c r="S43" s="26"/>
      <c r="T43" s="26"/>
      <c r="U43" s="26"/>
    </row>
    <row r="44" spans="1:21" x14ac:dyDescent="0.25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26"/>
      <c r="O44" s="26"/>
      <c r="P44" s="26"/>
      <c r="Q44" s="26"/>
      <c r="R44" s="26"/>
      <c r="S44" s="26"/>
      <c r="T44" s="26"/>
      <c r="U44" s="26"/>
    </row>
    <row r="45" spans="1:21" x14ac:dyDescent="0.25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26"/>
      <c r="O45" s="26"/>
      <c r="P45" s="26"/>
      <c r="Q45" s="26"/>
      <c r="R45" s="26"/>
      <c r="S45" s="26"/>
      <c r="T45" s="26"/>
      <c r="U45" s="26"/>
    </row>
    <row r="46" spans="1:21" x14ac:dyDescent="0.25">
      <c r="A46" s="32"/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26"/>
      <c r="O46" s="26"/>
      <c r="P46" s="26"/>
      <c r="Q46" s="26"/>
      <c r="R46" s="26"/>
      <c r="S46" s="26"/>
      <c r="T46" s="26"/>
      <c r="U46" s="26"/>
    </row>
    <row r="47" spans="1:21" x14ac:dyDescent="0.25">
      <c r="A47" s="32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26"/>
      <c r="O47" s="26"/>
      <c r="P47" s="26"/>
      <c r="Q47" s="26"/>
      <c r="R47" s="26"/>
      <c r="S47" s="26"/>
      <c r="T47" s="26"/>
      <c r="U47" s="26"/>
    </row>
    <row r="48" spans="1:21" x14ac:dyDescent="0.25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26"/>
      <c r="O48" s="26"/>
      <c r="P48" s="26"/>
      <c r="Q48" s="26"/>
      <c r="R48" s="26"/>
      <c r="S48" s="26"/>
      <c r="T48" s="26"/>
      <c r="U48" s="26"/>
    </row>
    <row r="49" spans="1:20" x14ac:dyDescent="0.25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</row>
    <row r="50" spans="1:20" x14ac:dyDescent="0.25">
      <c r="A50" s="32"/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</row>
    <row r="51" spans="1:20" x14ac:dyDescent="0.25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</row>
    <row r="52" spans="1:20" x14ac:dyDescent="0.25">
      <c r="A52" s="32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</row>
    <row r="53" spans="1:20" x14ac:dyDescent="0.25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</row>
    <row r="54" spans="1:20" x14ac:dyDescent="0.25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</row>
    <row r="55" spans="1:20" x14ac:dyDescent="0.25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</row>
    <row r="56" spans="1:20" x14ac:dyDescent="0.25">
      <c r="A56" s="32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</row>
    <row r="57" spans="1:20" x14ac:dyDescent="0.25">
      <c r="A57" s="32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</row>
    <row r="58" spans="1:20" x14ac:dyDescent="0.25">
      <c r="A58" s="32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</row>
    <row r="59" spans="1:20" x14ac:dyDescent="0.25">
      <c r="A59" s="32"/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</row>
    <row r="60" spans="1:20" x14ac:dyDescent="0.25">
      <c r="A60" s="32"/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</row>
    <row r="61" spans="1:20" x14ac:dyDescent="0.25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</row>
    <row r="62" spans="1:20" x14ac:dyDescent="0.25">
      <c r="A62" s="32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</row>
    <row r="63" spans="1:20" x14ac:dyDescent="0.25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</row>
    <row r="64" spans="1:20" x14ac:dyDescent="0.25">
      <c r="A64" s="32"/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</row>
    <row r="65" spans="1:13" x14ac:dyDescent="0.25">
      <c r="A65" s="32"/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</row>
    <row r="66" spans="1:13" x14ac:dyDescent="0.25">
      <c r="A66" s="32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</row>
    <row r="67" spans="1:13" x14ac:dyDescent="0.25">
      <c r="A67" s="32"/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2"/>
      <c r="M67" s="32"/>
    </row>
    <row r="68" spans="1:13" x14ac:dyDescent="0.25">
      <c r="A68" s="32"/>
      <c r="B68" s="32"/>
      <c r="C68" s="32"/>
      <c r="D68" s="32"/>
      <c r="E68" s="32"/>
      <c r="F68" s="32"/>
      <c r="G68" s="32"/>
      <c r="H68" s="32"/>
      <c r="I68" s="32"/>
      <c r="J68" s="32"/>
      <c r="K68" s="32"/>
      <c r="L68" s="32"/>
      <c r="M68" s="32"/>
    </row>
    <row r="69" spans="1:13" x14ac:dyDescent="0.25">
      <c r="A69" s="32"/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2"/>
      <c r="M69" s="32"/>
    </row>
    <row r="70" spans="1:13" x14ac:dyDescent="0.25">
      <c r="A70" s="32"/>
      <c r="B70" s="32"/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32"/>
    </row>
    <row r="71" spans="1:13" x14ac:dyDescent="0.25">
      <c r="A71" s="32"/>
      <c r="B71" s="32"/>
      <c r="C71" s="32"/>
      <c r="D71" s="32"/>
      <c r="E71" s="32"/>
      <c r="F71" s="32"/>
      <c r="G71" s="32"/>
      <c r="H71" s="32"/>
      <c r="I71" s="32"/>
      <c r="J71" s="32"/>
      <c r="K71" s="32"/>
      <c r="L71" s="32"/>
      <c r="M71" s="32"/>
    </row>
    <row r="72" spans="1:13" x14ac:dyDescent="0.25">
      <c r="A72" s="32"/>
      <c r="B72" s="32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</row>
    <row r="73" spans="1:13" x14ac:dyDescent="0.25">
      <c r="A73" s="32"/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2"/>
      <c r="M73" s="32"/>
    </row>
    <row r="74" spans="1:13" x14ac:dyDescent="0.25">
      <c r="A74" s="32"/>
      <c r="B74" s="32"/>
      <c r="C74" s="32"/>
      <c r="D74" s="32"/>
      <c r="E74" s="32"/>
      <c r="F74" s="32"/>
      <c r="G74" s="32"/>
      <c r="H74" s="32"/>
      <c r="I74" s="32"/>
      <c r="J74" s="32"/>
      <c r="K74" s="32"/>
      <c r="L74" s="32"/>
      <c r="M74" s="32"/>
    </row>
    <row r="75" spans="1:13" x14ac:dyDescent="0.25">
      <c r="A75" s="32"/>
      <c r="B75" s="32"/>
      <c r="C75" s="32"/>
      <c r="D75" s="32"/>
      <c r="E75" s="32"/>
      <c r="F75" s="32"/>
      <c r="G75" s="32"/>
      <c r="H75" s="32"/>
      <c r="I75" s="32"/>
      <c r="J75" s="32"/>
      <c r="K75" s="32"/>
      <c r="L75" s="32"/>
      <c r="M75" s="32"/>
    </row>
    <row r="76" spans="1:13" x14ac:dyDescent="0.25">
      <c r="A76" s="32"/>
      <c r="B76" s="32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</row>
    <row r="77" spans="1:13" x14ac:dyDescent="0.25">
      <c r="A77" s="32"/>
      <c r="B77" s="32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</row>
    <row r="78" spans="1:13" x14ac:dyDescent="0.25">
      <c r="A78" s="32"/>
      <c r="B78" s="32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</row>
    <row r="79" spans="1:13" x14ac:dyDescent="0.25">
      <c r="A79" s="32"/>
      <c r="B79" s="32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</row>
    <row r="80" spans="1:13" x14ac:dyDescent="0.25">
      <c r="A80" s="32"/>
      <c r="B80" s="32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</row>
    <row r="81" spans="1:13" x14ac:dyDescent="0.25">
      <c r="A81" s="32"/>
      <c r="B81" s="32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</row>
    <row r="82" spans="1:13" x14ac:dyDescent="0.25">
      <c r="A82" s="32"/>
      <c r="B82" s="32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</row>
    <row r="83" spans="1:13" x14ac:dyDescent="0.25">
      <c r="A83" s="32"/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</row>
    <row r="84" spans="1:13" x14ac:dyDescent="0.25">
      <c r="A84" s="32"/>
      <c r="B84" s="32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</row>
    <row r="85" spans="1:13" x14ac:dyDescent="0.25">
      <c r="A85" s="32"/>
      <c r="B85" s="32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</row>
    <row r="86" spans="1:13" x14ac:dyDescent="0.25">
      <c r="A86" s="32"/>
      <c r="B86" s="32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</row>
    <row r="87" spans="1:13" x14ac:dyDescent="0.25">
      <c r="A87" s="32"/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</row>
    <row r="88" spans="1:13" x14ac:dyDescent="0.25">
      <c r="A88" s="32"/>
      <c r="B88" s="32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</row>
    <row r="89" spans="1:13" x14ac:dyDescent="0.25">
      <c r="A89" s="32"/>
      <c r="B89" s="32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</row>
    <row r="90" spans="1:13" x14ac:dyDescent="0.25">
      <c r="A90" s="32"/>
      <c r="B90" s="32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</row>
    <row r="91" spans="1:13" x14ac:dyDescent="0.25">
      <c r="A91" s="32"/>
      <c r="B91" s="32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</row>
    <row r="92" spans="1:13" x14ac:dyDescent="0.25">
      <c r="A92" s="32"/>
      <c r="B92" s="32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</row>
    <row r="93" spans="1:13" x14ac:dyDescent="0.25">
      <c r="A93" s="32"/>
      <c r="B93" s="32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</row>
    <row r="94" spans="1:13" x14ac:dyDescent="0.25">
      <c r="A94" s="32"/>
      <c r="B94" s="32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</row>
    <row r="95" spans="1:13" x14ac:dyDescent="0.25">
      <c r="A95" s="32"/>
      <c r="B95" s="32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</row>
    <row r="96" spans="1:13" x14ac:dyDescent="0.25">
      <c r="A96" s="32"/>
      <c r="B96" s="32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</row>
    <row r="97" spans="1:13" x14ac:dyDescent="0.25">
      <c r="A97" s="32"/>
      <c r="B97" s="32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</row>
    <row r="98" spans="1:13" x14ac:dyDescent="0.25">
      <c r="A98" s="32"/>
      <c r="B98" s="32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</row>
    <row r="99" spans="1:13" x14ac:dyDescent="0.25">
      <c r="A99" s="32"/>
      <c r="B99" s="32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</row>
    <row r="100" spans="1:13" x14ac:dyDescent="0.25">
      <c r="A100" s="32"/>
      <c r="B100" s="32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</row>
    <row r="101" spans="1:13" x14ac:dyDescent="0.25">
      <c r="A101" s="32"/>
      <c r="B101" s="32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</row>
    <row r="102" spans="1:13" x14ac:dyDescent="0.25">
      <c r="A102" s="32"/>
      <c r="B102" s="32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</row>
    <row r="103" spans="1:13" x14ac:dyDescent="0.25">
      <c r="A103" s="32"/>
      <c r="B103" s="32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</row>
    <row r="104" spans="1:13" x14ac:dyDescent="0.25">
      <c r="A104" s="32"/>
      <c r="B104" s="32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</row>
    <row r="105" spans="1:13" x14ac:dyDescent="0.25">
      <c r="A105" s="32"/>
      <c r="B105" s="32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</row>
    <row r="106" spans="1:13" x14ac:dyDescent="0.25">
      <c r="A106" s="32"/>
      <c r="B106" s="32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</row>
    <row r="107" spans="1:13" x14ac:dyDescent="0.25">
      <c r="A107" s="32"/>
      <c r="B107" s="32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</row>
    <row r="108" spans="1:13" x14ac:dyDescent="0.25">
      <c r="A108" s="32"/>
      <c r="B108" s="32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</row>
    <row r="109" spans="1:13" x14ac:dyDescent="0.25">
      <c r="A109" s="32"/>
      <c r="B109" s="32"/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</row>
    <row r="110" spans="1:13" x14ac:dyDescent="0.25">
      <c r="A110" s="32"/>
      <c r="B110" s="32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</row>
    <row r="111" spans="1:13" x14ac:dyDescent="0.25">
      <c r="A111" s="32"/>
      <c r="B111" s="32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</row>
    <row r="112" spans="1:13" x14ac:dyDescent="0.25">
      <c r="A112" s="32"/>
      <c r="B112" s="32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</row>
    <row r="113" spans="1:13" x14ac:dyDescent="0.25">
      <c r="A113" s="32"/>
      <c r="B113" s="32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</row>
    <row r="114" spans="1:13" x14ac:dyDescent="0.25">
      <c r="A114" s="32"/>
      <c r="B114" s="32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</row>
    <row r="115" spans="1:13" x14ac:dyDescent="0.25">
      <c r="A115" s="32"/>
      <c r="B115" s="32"/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</row>
    <row r="116" spans="1:13" x14ac:dyDescent="0.25">
      <c r="A116" s="32"/>
      <c r="B116" s="32"/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</row>
    <row r="117" spans="1:13" x14ac:dyDescent="0.25">
      <c r="A117" s="32"/>
      <c r="B117" s="32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</row>
    <row r="118" spans="1:13" x14ac:dyDescent="0.25">
      <c r="A118" s="32"/>
      <c r="B118" s="32"/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</row>
    <row r="119" spans="1:13" x14ac:dyDescent="0.25">
      <c r="A119" s="32"/>
      <c r="B119" s="32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</row>
    <row r="120" spans="1:13" x14ac:dyDescent="0.25">
      <c r="A120" s="32"/>
      <c r="B120" s="32"/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</row>
    <row r="121" spans="1:13" x14ac:dyDescent="0.25">
      <c r="A121" s="32"/>
      <c r="B121" s="32"/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</row>
    <row r="122" spans="1:13" x14ac:dyDescent="0.25">
      <c r="A122" s="32"/>
      <c r="B122" s="32"/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</row>
    <row r="123" spans="1:13" x14ac:dyDescent="0.25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</row>
    <row r="124" spans="1:13" x14ac:dyDescent="0.25">
      <c r="A124" s="32"/>
      <c r="B124" s="32"/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</row>
    <row r="125" spans="1:13" x14ac:dyDescent="0.25">
      <c r="A125" s="32"/>
      <c r="B125" s="32"/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</row>
    <row r="126" spans="1:13" x14ac:dyDescent="0.25">
      <c r="A126" s="32"/>
      <c r="B126" s="32"/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</row>
    <row r="127" spans="1:13" x14ac:dyDescent="0.25">
      <c r="A127" s="32"/>
      <c r="B127" s="32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</row>
    <row r="128" spans="1:13" x14ac:dyDescent="0.25">
      <c r="A128" s="32"/>
      <c r="B128" s="32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</row>
    <row r="129" spans="1:13" x14ac:dyDescent="0.25">
      <c r="A129" s="32"/>
      <c r="B129" s="32"/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</row>
    <row r="130" spans="1:13" x14ac:dyDescent="0.25">
      <c r="A130" s="32"/>
      <c r="B130" s="32"/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</row>
    <row r="131" spans="1:13" x14ac:dyDescent="0.25">
      <c r="A131" s="32"/>
      <c r="B131" s="32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</row>
    <row r="132" spans="1:13" x14ac:dyDescent="0.25">
      <c r="A132" s="32"/>
      <c r="B132" s="32"/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</row>
    <row r="133" spans="1:13" x14ac:dyDescent="0.25">
      <c r="A133" s="32"/>
      <c r="B133" s="32"/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</row>
    <row r="134" spans="1:13" x14ac:dyDescent="0.25">
      <c r="A134" s="32"/>
      <c r="B134" s="32"/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</row>
    <row r="135" spans="1:13" x14ac:dyDescent="0.25">
      <c r="A135" s="32"/>
      <c r="B135" s="32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</row>
    <row r="136" spans="1:13" x14ac:dyDescent="0.25">
      <c r="A136" s="32"/>
      <c r="B136" s="32"/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</row>
    <row r="137" spans="1:13" x14ac:dyDescent="0.25">
      <c r="A137" s="32"/>
      <c r="B137" s="32"/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</row>
  </sheetData>
  <mergeCells count="11">
    <mergeCell ref="B16:J16"/>
    <mergeCell ref="B17:J17"/>
    <mergeCell ref="B19:J19"/>
    <mergeCell ref="B21:J32"/>
    <mergeCell ref="A2:N2"/>
    <mergeCell ref="B7:D7"/>
    <mergeCell ref="B5:D5"/>
    <mergeCell ref="B9:D9"/>
    <mergeCell ref="K7:M7"/>
    <mergeCell ref="K5:M5"/>
    <mergeCell ref="C11:E11"/>
  </mergeCells>
  <dataValidations count="1">
    <dataValidation type="list" showInputMessage="1" showErrorMessage="1" sqref="K7:M7" xr:uid="{24126BEB-F4C4-4689-9B79-1317D0FF97AC}">
      <formula1>$Q$1:$Q$7</formula1>
    </dataValidation>
  </dataValidations>
  <hyperlinks>
    <hyperlink ref="R1" r:id="rId1" xr:uid="{D9E1A857-FBA2-4C8A-B164-CDE568212D38}"/>
    <hyperlink ref="R2" r:id="rId2" xr:uid="{71313864-67D1-4648-A5D3-03646FD7B04A}"/>
    <hyperlink ref="R4" r:id="rId3" xr:uid="{9B7FA2C8-59A0-45D4-9684-39DA1070FE60}"/>
    <hyperlink ref="R5" r:id="rId4" xr:uid="{85C010BC-7513-49A7-B69F-E7EC130B77AB}"/>
    <hyperlink ref="R6" r:id="rId5" xr:uid="{7C2B4DCD-A19A-44B6-A186-706DB9C7C7F5}"/>
    <hyperlink ref="R7" r:id="rId6" xr:uid="{87C83F6B-0B37-4436-970E-0DF433F014D5}"/>
  </hyperlinks>
  <pageMargins left="0.511811024" right="0.511811024" top="0.78740157499999996" bottom="0.78740157499999996" header="0.31496062000000002" footer="0.31496062000000002"/>
  <drawing r:id="rId7"/>
  <legacyDrawing r:id="rId8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9" name="Button 2">
              <controlPr defaultSize="0" print="0" autoFill="0" autoPict="0" macro="[0]!email">
                <anchor moveWithCells="1" sizeWithCells="1">
                  <from>
                    <xdr:col>11</xdr:col>
                    <xdr:colOff>133350</xdr:colOff>
                    <xdr:row>31</xdr:row>
                    <xdr:rowOff>9525</xdr:rowOff>
                  </from>
                  <to>
                    <xdr:col>13</xdr:col>
                    <xdr:colOff>447675</xdr:colOff>
                    <xdr:row>33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Button 7">
              <controlPr defaultSize="0" print="0" autoFill="0" autoPict="0" macro="[0]!INSERIR_LVT">
                <anchor moveWithCells="1" sizeWithCells="1">
                  <from>
                    <xdr:col>11</xdr:col>
                    <xdr:colOff>28575</xdr:colOff>
                    <xdr:row>10</xdr:row>
                    <xdr:rowOff>66675</xdr:rowOff>
                  </from>
                  <to>
                    <xdr:col>13</xdr:col>
                    <xdr:colOff>247650</xdr:colOff>
                    <xdr:row>12</xdr:row>
                    <xdr:rowOff>57150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9ED3F89-3181-4832-BF4D-AB0F59D0DF33}">
          <x14:formula1>
            <xm:f>Empresas!$A:$A</xm:f>
          </x14:formula1>
          <xm:sqref>C11:E11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FEF5F2-8503-4613-9B6B-98AEE0A6F5B7}">
  <sheetPr codeName="Planilha2"/>
  <dimension ref="A1:AB101"/>
  <sheetViews>
    <sheetView tabSelected="1" zoomScale="70" zoomScaleNormal="70" workbookViewId="0">
      <selection activeCell="B13" sqref="B13"/>
    </sheetView>
  </sheetViews>
  <sheetFormatPr defaultColWidth="9.140625" defaultRowHeight="15" x14ac:dyDescent="0.25"/>
  <cols>
    <col min="1" max="1" width="10.7109375" style="1" customWidth="1"/>
    <col min="2" max="16384" width="9.140625" style="1"/>
  </cols>
  <sheetData>
    <row r="1" spans="1:22" x14ac:dyDescent="0.25">
      <c r="T1" s="24" t="s">
        <v>29</v>
      </c>
      <c r="U1" s="24"/>
      <c r="V1" s="24" t="s">
        <v>30</v>
      </c>
    </row>
    <row r="2" spans="1:22" ht="31.5" x14ac:dyDescent="0.5">
      <c r="A2" s="98" t="s">
        <v>31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100"/>
      <c r="T2" s="24" t="s">
        <v>32</v>
      </c>
      <c r="U2" s="24"/>
      <c r="V2" s="24" t="s">
        <v>33</v>
      </c>
    </row>
    <row r="3" spans="1:22" x14ac:dyDescent="0.25">
      <c r="O3" s="2"/>
      <c r="T3" s="24" t="s">
        <v>34</v>
      </c>
      <c r="U3" s="24"/>
      <c r="V3" s="24" t="s">
        <v>32</v>
      </c>
    </row>
    <row r="4" spans="1:22" x14ac:dyDescent="0.25">
      <c r="O4" s="2"/>
    </row>
    <row r="5" spans="1:22" x14ac:dyDescent="0.25">
      <c r="A5" s="1" t="s">
        <v>35</v>
      </c>
      <c r="E5" s="89" t="s">
        <v>36</v>
      </c>
      <c r="F5" s="91"/>
      <c r="I5" s="1" t="s">
        <v>37</v>
      </c>
      <c r="K5" s="97" t="str">
        <f>_xlfn.IFNA(VLOOKUP(E5,BD_LVT!B:E,4,0),"")</f>
        <v>Erika</v>
      </c>
      <c r="L5" s="97"/>
      <c r="M5" s="97"/>
      <c r="O5" s="2"/>
    </row>
    <row r="6" spans="1:22" x14ac:dyDescent="0.25">
      <c r="O6" s="2"/>
    </row>
    <row r="7" spans="1:22" x14ac:dyDescent="0.25">
      <c r="O7" s="2"/>
    </row>
    <row r="8" spans="1:22" x14ac:dyDescent="0.25">
      <c r="E8" s="1" t="s">
        <v>38</v>
      </c>
      <c r="G8" s="97" t="str">
        <f>A78</f>
        <v>RISCO MÉDIO</v>
      </c>
      <c r="H8" s="97"/>
      <c r="I8" s="97"/>
      <c r="O8" s="2"/>
    </row>
    <row r="9" spans="1:22" x14ac:dyDescent="0.25">
      <c r="O9" s="2"/>
    </row>
    <row r="10" spans="1:22" x14ac:dyDescent="0.25">
      <c r="O10" s="2"/>
    </row>
    <row r="11" spans="1:22" x14ac:dyDescent="0.25">
      <c r="A11" s="1" t="s">
        <v>39</v>
      </c>
      <c r="O11" s="2"/>
    </row>
    <row r="12" spans="1:22" x14ac:dyDescent="0.25">
      <c r="A12" s="14"/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6"/>
      <c r="O12" s="2"/>
    </row>
    <row r="13" spans="1:22" x14ac:dyDescent="0.25">
      <c r="A13" s="17" t="s">
        <v>40</v>
      </c>
      <c r="F13" s="97" t="str">
        <f>_xlfn.IFNA(VLOOKUP(E5,BD_LVT!B:I,8,0),"")</f>
        <v>CONQUEST</v>
      </c>
      <c r="G13" s="97"/>
      <c r="H13" s="97"/>
      <c r="I13" s="97"/>
      <c r="J13" s="97"/>
      <c r="L13" s="24" t="str">
        <f>_xlfn.IFNA(VLOOKUP(F13,Empresas!A:B,2,0),"")</f>
        <v>D</v>
      </c>
      <c r="N13" s="18"/>
      <c r="O13" s="2"/>
    </row>
    <row r="14" spans="1:22" x14ac:dyDescent="0.25">
      <c r="A14" s="17"/>
      <c r="N14" s="18"/>
      <c r="O14" s="2"/>
    </row>
    <row r="15" spans="1:22" x14ac:dyDescent="0.25">
      <c r="A15" s="17" t="s">
        <v>41</v>
      </c>
      <c r="F15" s="89" t="s">
        <v>34</v>
      </c>
      <c r="G15" s="91"/>
      <c r="N15" s="18"/>
      <c r="O15" s="2"/>
    </row>
    <row r="16" spans="1:22" x14ac:dyDescent="0.25">
      <c r="A16" s="17"/>
      <c r="N16" s="18"/>
      <c r="O16" s="2"/>
    </row>
    <row r="17" spans="1:15" x14ac:dyDescent="0.25">
      <c r="A17" s="17" t="s">
        <v>42</v>
      </c>
      <c r="F17" s="89" t="s">
        <v>34</v>
      </c>
      <c r="G17" s="91"/>
      <c r="N17" s="18"/>
      <c r="O17" s="2"/>
    </row>
    <row r="18" spans="1:15" x14ac:dyDescent="0.25">
      <c r="A18" s="19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1"/>
      <c r="O18" s="2"/>
    </row>
    <row r="19" spans="1:15" x14ac:dyDescent="0.25">
      <c r="O19" s="2"/>
    </row>
    <row r="20" spans="1:15" x14ac:dyDescent="0.25">
      <c r="A20" s="1" t="s">
        <v>43</v>
      </c>
      <c r="O20" s="2"/>
    </row>
    <row r="21" spans="1:15" x14ac:dyDescent="0.25">
      <c r="A21" s="6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8"/>
      <c r="O21" s="2"/>
    </row>
    <row r="22" spans="1:15" ht="15" customHeight="1" x14ac:dyDescent="0.25">
      <c r="A22" s="30" t="s">
        <v>44</v>
      </c>
      <c r="B22" s="29"/>
      <c r="C22" s="29"/>
      <c r="D22" s="29"/>
      <c r="E22" s="29"/>
      <c r="F22" s="29"/>
      <c r="G22" s="29"/>
      <c r="H22" s="29"/>
      <c r="I22" s="29"/>
      <c r="J22" s="29"/>
      <c r="L22" s="89" t="s">
        <v>32</v>
      </c>
      <c r="M22" s="91"/>
      <c r="N22" s="10"/>
      <c r="O22" s="2"/>
    </row>
    <row r="23" spans="1:15" ht="5.25" customHeight="1" x14ac:dyDescent="0.25">
      <c r="A23" s="30"/>
      <c r="B23" s="29"/>
      <c r="C23" s="29"/>
      <c r="D23" s="29"/>
      <c r="E23" s="29"/>
      <c r="F23" s="29"/>
      <c r="G23" s="29"/>
      <c r="H23" s="29"/>
      <c r="I23" s="29"/>
      <c r="J23" s="29"/>
      <c r="L23" s="27"/>
      <c r="M23" s="27"/>
      <c r="N23" s="10"/>
      <c r="O23" s="2"/>
    </row>
    <row r="24" spans="1:15" x14ac:dyDescent="0.25">
      <c r="A24" s="28"/>
      <c r="B24" s="31" t="str">
        <f>IF(L22="Sim","A construtora sabe informar como será tratado o terreno ou como sera a concepção de drenagem?","")</f>
        <v/>
      </c>
      <c r="C24" s="29"/>
      <c r="D24" s="29"/>
      <c r="E24" s="29"/>
      <c r="F24" s="29"/>
      <c r="G24" s="29"/>
      <c r="H24" s="29"/>
      <c r="I24" s="29"/>
      <c r="J24" s="29"/>
      <c r="N24" s="10"/>
      <c r="O24" s="2"/>
    </row>
    <row r="25" spans="1:15" x14ac:dyDescent="0.25">
      <c r="A25" s="9"/>
      <c r="N25" s="10"/>
      <c r="O25" s="2"/>
    </row>
    <row r="26" spans="1:15" x14ac:dyDescent="0.25">
      <c r="A26" s="9" t="s">
        <v>45</v>
      </c>
      <c r="L26" s="89" t="s">
        <v>29</v>
      </c>
      <c r="M26" s="91"/>
      <c r="N26" s="10"/>
      <c r="O26" s="2"/>
    </row>
    <row r="27" spans="1:15" ht="7.5" customHeight="1" x14ac:dyDescent="0.25">
      <c r="A27" s="9"/>
      <c r="L27" s="27"/>
      <c r="M27" s="27"/>
      <c r="N27" s="10"/>
      <c r="O27" s="2"/>
    </row>
    <row r="28" spans="1:15" x14ac:dyDescent="0.25">
      <c r="A28" s="9"/>
      <c r="B28" s="31" t="str">
        <f>IF(L26="Sim","A construtora tem conhecimento do nível de cheia do curso d´água?","")</f>
        <v>A construtora tem conhecimento do nível de cheia do curso d´água?</v>
      </c>
      <c r="L28" s="1" t="s">
        <v>32</v>
      </c>
      <c r="M28" s="27"/>
      <c r="N28" s="10"/>
      <c r="O28" s="2"/>
    </row>
    <row r="29" spans="1:15" x14ac:dyDescent="0.25">
      <c r="A29" s="9"/>
      <c r="N29" s="10"/>
      <c r="O29" s="2"/>
    </row>
    <row r="30" spans="1:15" x14ac:dyDescent="0.25">
      <c r="A30" s="9" t="s">
        <v>46</v>
      </c>
      <c r="L30" s="89" t="s">
        <v>32</v>
      </c>
      <c r="M30" s="91"/>
      <c r="N30" s="10"/>
      <c r="O30" s="2"/>
    </row>
    <row r="31" spans="1:15" ht="5.25" customHeight="1" x14ac:dyDescent="0.25">
      <c r="A31" s="9"/>
      <c r="L31" s="27"/>
      <c r="M31" s="27"/>
      <c r="N31" s="10"/>
      <c r="O31" s="2"/>
    </row>
    <row r="32" spans="1:15" x14ac:dyDescent="0.25">
      <c r="A32" s="9"/>
      <c r="B32" s="31" t="str">
        <f>IF(L30="Sim","A construtora tem conhecimento da presença de talvegue no terrreno? Irá edificar sobre?","")</f>
        <v/>
      </c>
      <c r="M32" s="27"/>
      <c r="N32" s="10"/>
      <c r="O32" s="2"/>
    </row>
    <row r="33" spans="1:15" x14ac:dyDescent="0.25">
      <c r="A33" s="9"/>
      <c r="N33" s="10"/>
      <c r="O33" s="2"/>
    </row>
    <row r="34" spans="1:15" x14ac:dyDescent="0.25">
      <c r="A34" s="9" t="s">
        <v>47</v>
      </c>
      <c r="L34" s="89" t="s">
        <v>32</v>
      </c>
      <c r="M34" s="91"/>
      <c r="N34" s="10"/>
      <c r="O34" s="2"/>
    </row>
    <row r="35" spans="1:15" ht="5.25" customHeight="1" x14ac:dyDescent="0.25">
      <c r="A35" s="9"/>
      <c r="L35" s="27"/>
      <c r="M35" s="27"/>
      <c r="N35" s="10"/>
      <c r="O35" s="2"/>
    </row>
    <row r="36" spans="1:15" x14ac:dyDescent="0.25">
      <c r="A36" s="9"/>
      <c r="B36" s="31" t="str">
        <f>IF(L34="Sim","A construtora possui estudos sobre a estabilidade e conservação da estrutura existente?","")</f>
        <v/>
      </c>
      <c r="L36" s="1" t="s">
        <v>29</v>
      </c>
      <c r="M36" s="27"/>
      <c r="N36" s="10"/>
      <c r="O36" s="2"/>
    </row>
    <row r="37" spans="1:15" x14ac:dyDescent="0.25">
      <c r="A37" s="9"/>
      <c r="N37" s="10"/>
      <c r="O37" s="2"/>
    </row>
    <row r="38" spans="1:15" x14ac:dyDescent="0.25">
      <c r="A38" s="9" t="s">
        <v>48</v>
      </c>
      <c r="L38" s="89" t="s">
        <v>29</v>
      </c>
      <c r="M38" s="91"/>
      <c r="N38" s="10"/>
      <c r="O38" s="2"/>
    </row>
    <row r="39" spans="1:15" ht="5.25" customHeight="1" x14ac:dyDescent="0.25">
      <c r="L39" s="27"/>
      <c r="M39" s="27"/>
      <c r="N39" s="10"/>
      <c r="O39" s="2"/>
    </row>
    <row r="40" spans="1:15" x14ac:dyDescent="0.25">
      <c r="B40" s="31" t="str">
        <f>IF(L38="Sim","A construtora tem conhecimento sobre a estabilidade ou necessidade de contenção destes taludes?","")</f>
        <v>A construtora tem conhecimento sobre a estabilidade ou necessidade de contenção destes taludes?</v>
      </c>
      <c r="M40" s="27"/>
      <c r="N40" s="10"/>
      <c r="O40" s="2"/>
    </row>
    <row r="41" spans="1:15" x14ac:dyDescent="0.25">
      <c r="N41" s="10"/>
      <c r="O41" s="2"/>
    </row>
    <row r="42" spans="1:15" x14ac:dyDescent="0.25">
      <c r="A42" s="9" t="s">
        <v>49</v>
      </c>
      <c r="L42" s="89" t="s">
        <v>32</v>
      </c>
      <c r="M42" s="91"/>
      <c r="N42" s="10"/>
      <c r="O42" s="2"/>
    </row>
    <row r="43" spans="1:15" ht="7.5" customHeight="1" x14ac:dyDescent="0.25">
      <c r="A43" s="9"/>
      <c r="L43" s="27"/>
      <c r="M43" s="27"/>
      <c r="N43" s="10"/>
      <c r="O43" s="2"/>
    </row>
    <row r="44" spans="1:15" x14ac:dyDescent="0.25">
      <c r="A44" s="9"/>
      <c r="B44" s="31" t="str">
        <f>IF(L42="Sim","A construtora tem conhecimento sobre alagamento no terreno?","")</f>
        <v/>
      </c>
      <c r="M44" s="27"/>
      <c r="N44" s="10"/>
      <c r="O44" s="2"/>
    </row>
    <row r="45" spans="1:15" ht="7.5" customHeight="1" x14ac:dyDescent="0.25">
      <c r="A45" s="9"/>
      <c r="B45" s="31"/>
      <c r="L45" s="27"/>
      <c r="M45" s="27"/>
      <c r="N45" s="10"/>
      <c r="O45" s="2"/>
    </row>
    <row r="46" spans="1:15" x14ac:dyDescent="0.25">
      <c r="A46" s="9"/>
      <c r="B46" s="31" t="str">
        <f>IF(L42="Sim","Estudos prévios de drenagem?","")</f>
        <v/>
      </c>
      <c r="M46" s="27"/>
      <c r="N46" s="10"/>
      <c r="O46" s="2"/>
    </row>
    <row r="47" spans="1:15" ht="7.5" customHeight="1" x14ac:dyDescent="0.25">
      <c r="A47" s="9"/>
      <c r="B47" s="31"/>
      <c r="L47" s="27"/>
      <c r="M47" s="27"/>
      <c r="N47" s="10"/>
      <c r="O47" s="2"/>
    </row>
    <row r="48" spans="1:15" x14ac:dyDescent="0.25">
      <c r="A48" s="9"/>
      <c r="B48" s="31" t="str">
        <f>IF(L42="Sim","Sabe se terá necessidade de execução prévia das redes de drenagem?","")</f>
        <v/>
      </c>
      <c r="M48" s="27"/>
      <c r="N48" s="10"/>
      <c r="O48" s="2"/>
    </row>
    <row r="49" spans="1:17" ht="7.5" customHeight="1" x14ac:dyDescent="0.25">
      <c r="A49" s="9"/>
      <c r="B49" s="31"/>
      <c r="L49" s="27"/>
      <c r="M49" s="27"/>
      <c r="N49" s="10"/>
      <c r="O49" s="2"/>
    </row>
    <row r="50" spans="1:17" x14ac:dyDescent="0.25">
      <c r="A50" s="9"/>
      <c r="B50" s="31" t="str">
        <f>IF(L42="Sim","O terreno sofrerá elevação de cota?","")</f>
        <v/>
      </c>
      <c r="M50" s="27"/>
      <c r="N50" s="10"/>
      <c r="O50" s="2"/>
    </row>
    <row r="51" spans="1:17" x14ac:dyDescent="0.25">
      <c r="A51" s="9"/>
      <c r="N51" s="10"/>
      <c r="O51" s="2"/>
    </row>
    <row r="52" spans="1:17" x14ac:dyDescent="0.25">
      <c r="A52" s="9" t="s">
        <v>50</v>
      </c>
      <c r="L52" s="89" t="s">
        <v>32</v>
      </c>
      <c r="M52" s="91"/>
      <c r="N52" s="10"/>
      <c r="O52" s="2"/>
    </row>
    <row r="53" spans="1:17" ht="7.5" customHeight="1" x14ac:dyDescent="0.25">
      <c r="A53" s="9"/>
      <c r="L53" s="27"/>
      <c r="M53" s="27"/>
      <c r="N53" s="10"/>
      <c r="O53" s="2"/>
    </row>
    <row r="54" spans="1:17" x14ac:dyDescent="0.25">
      <c r="A54" s="9"/>
      <c r="B54" s="31" t="str">
        <f>IF(L52="Sim","A construtora já possui sondagens do terreno?","")</f>
        <v/>
      </c>
      <c r="N54" s="10"/>
      <c r="O54" s="2"/>
    </row>
    <row r="55" spans="1:17" x14ac:dyDescent="0.25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3"/>
      <c r="O55" s="2"/>
      <c r="Q55"/>
    </row>
    <row r="56" spans="1:17" x14ac:dyDescent="0.25">
      <c r="O56" s="2"/>
    </row>
    <row r="57" spans="1:17" x14ac:dyDescent="0.25">
      <c r="A57" s="1" t="s">
        <v>51</v>
      </c>
      <c r="O57" s="2"/>
    </row>
    <row r="58" spans="1:17" x14ac:dyDescent="0.25">
      <c r="A58" s="6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8"/>
      <c r="O58" s="2"/>
    </row>
    <row r="59" spans="1:17" x14ac:dyDescent="0.25">
      <c r="A59" s="9" t="s">
        <v>52</v>
      </c>
      <c r="L59" s="89" t="s">
        <v>29</v>
      </c>
      <c r="M59" s="91"/>
      <c r="N59" s="10"/>
      <c r="O59" s="2"/>
    </row>
    <row r="60" spans="1:17" x14ac:dyDescent="0.25">
      <c r="A60" s="9"/>
      <c r="N60" s="10"/>
      <c r="O60" s="2"/>
    </row>
    <row r="61" spans="1:17" x14ac:dyDescent="0.25">
      <c r="A61" s="9" t="s">
        <v>53</v>
      </c>
      <c r="L61" s="89" t="s">
        <v>32</v>
      </c>
      <c r="M61" s="91"/>
      <c r="N61" s="10"/>
      <c r="O61" s="2"/>
    </row>
    <row r="62" spans="1:17" x14ac:dyDescent="0.25">
      <c r="A62" s="9"/>
      <c r="N62" s="10"/>
      <c r="O62" s="2"/>
    </row>
    <row r="63" spans="1:17" x14ac:dyDescent="0.25">
      <c r="A63" s="9" t="s">
        <v>54</v>
      </c>
      <c r="L63" s="89" t="s">
        <v>29</v>
      </c>
      <c r="M63" s="91"/>
      <c r="N63" s="10"/>
      <c r="O63" s="2"/>
    </row>
    <row r="64" spans="1:17" x14ac:dyDescent="0.25">
      <c r="A64" s="9"/>
      <c r="N64" s="10"/>
      <c r="O64" s="2"/>
    </row>
    <row r="65" spans="1:28" x14ac:dyDescent="0.25">
      <c r="A65" s="11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3"/>
      <c r="O65" s="2"/>
    </row>
    <row r="66" spans="1:28" x14ac:dyDescent="0.25">
      <c r="O66" s="2"/>
    </row>
    <row r="67" spans="1:28" x14ac:dyDescent="0.25">
      <c r="O67" s="2"/>
    </row>
    <row r="68" spans="1:28" x14ac:dyDescent="0.25">
      <c r="O68" s="2"/>
    </row>
    <row r="69" spans="1:28" x14ac:dyDescent="0.25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3"/>
    </row>
    <row r="70" spans="1:28" s="32" customFormat="1" x14ac:dyDescent="0.25"/>
    <row r="71" spans="1:28" s="32" customFormat="1" x14ac:dyDescent="0.25">
      <c r="A71" s="95" t="s">
        <v>55</v>
      </c>
      <c r="B71" s="95"/>
      <c r="C71" s="95"/>
      <c r="D71" s="95" t="s">
        <v>56</v>
      </c>
      <c r="E71" s="95"/>
      <c r="F71" s="95"/>
      <c r="G71" s="95"/>
      <c r="H71" s="95"/>
      <c r="I71" s="95"/>
      <c r="J71" s="95"/>
      <c r="K71" s="95"/>
      <c r="L71" s="95"/>
      <c r="M71" s="95"/>
      <c r="N71" s="95"/>
      <c r="O71" s="95"/>
      <c r="P71" s="95"/>
      <c r="Q71" s="95"/>
      <c r="R71" s="95"/>
      <c r="S71" s="95"/>
      <c r="T71" s="95"/>
      <c r="U71" s="95" t="s">
        <v>57</v>
      </c>
      <c r="V71" s="95"/>
      <c r="W71" s="95"/>
    </row>
    <row r="72" spans="1:28" s="32" customFormat="1" x14ac:dyDescent="0.25">
      <c r="A72" s="32">
        <v>1</v>
      </c>
      <c r="B72" s="32">
        <v>2</v>
      </c>
      <c r="C72" s="32">
        <v>3</v>
      </c>
      <c r="D72" s="32">
        <v>4</v>
      </c>
      <c r="E72" s="32">
        <v>5</v>
      </c>
      <c r="F72" s="32">
        <v>6</v>
      </c>
      <c r="G72" s="32">
        <v>7</v>
      </c>
      <c r="H72" s="32">
        <v>8</v>
      </c>
      <c r="I72" s="32">
        <v>9</v>
      </c>
      <c r="J72" s="32">
        <v>10</v>
      </c>
      <c r="K72" s="32">
        <v>11</v>
      </c>
      <c r="L72" s="32">
        <v>12</v>
      </c>
      <c r="M72" s="32">
        <v>13</v>
      </c>
      <c r="N72" s="32">
        <v>14</v>
      </c>
      <c r="O72" s="32">
        <v>15</v>
      </c>
      <c r="P72" s="32">
        <v>16</v>
      </c>
      <c r="Q72" s="32">
        <v>17</v>
      </c>
      <c r="R72" s="32">
        <v>18</v>
      </c>
      <c r="S72" s="32">
        <v>19</v>
      </c>
      <c r="T72" s="32">
        <v>20</v>
      </c>
      <c r="U72" s="32">
        <v>21</v>
      </c>
      <c r="V72" s="32">
        <v>22</v>
      </c>
      <c r="W72" s="32">
        <v>23</v>
      </c>
    </row>
    <row r="73" spans="1:28" s="32" customFormat="1" x14ac:dyDescent="0.25">
      <c r="A73" s="32">
        <f>IF(L13="A",0,IF(L13="B",1,IF(L13="C",2,IF(L13="D",3,4))))</f>
        <v>3</v>
      </c>
      <c r="B73" s="32">
        <f>IF(F15="Sim",2,IF(F15="Desconheço",1,IF(F15="","",0)))</f>
        <v>1</v>
      </c>
      <c r="C73" s="32">
        <f>IF(F17="Sim",2,IF(F17="Desconheço",1,IF(F17="","",0)))</f>
        <v>1</v>
      </c>
      <c r="D73" s="32">
        <f>IF(L22="Sim",1,0)</f>
        <v>0</v>
      </c>
      <c r="E73" s="32">
        <f>IF(L24="Não",1,0)</f>
        <v>0</v>
      </c>
      <c r="F73" s="32">
        <f>IF(L26="Sim",1,0)</f>
        <v>1</v>
      </c>
      <c r="G73" s="32">
        <f>IF(L28="Não",1,0)</f>
        <v>1</v>
      </c>
      <c r="H73" s="32">
        <f>IF(L30="Sim",1,0)</f>
        <v>0</v>
      </c>
      <c r="I73" s="32">
        <f>IF(L32="Não",1,0)</f>
        <v>0</v>
      </c>
      <c r="J73" s="32">
        <f>IF(L34="Sim",1,0)</f>
        <v>0</v>
      </c>
      <c r="K73" s="32">
        <f>IF(L36="Não",1,0)</f>
        <v>0</v>
      </c>
      <c r="L73" s="32">
        <f>IF(L38="Sim",1,0)</f>
        <v>1</v>
      </c>
      <c r="M73" s="32">
        <f>IF(L40="Não",1,0)</f>
        <v>0</v>
      </c>
      <c r="N73" s="32">
        <f>IF(L42="Sim",1,0)</f>
        <v>0</v>
      </c>
      <c r="O73" s="32">
        <f>IF(L44="Não",1,0)</f>
        <v>0</v>
      </c>
      <c r="P73" s="32">
        <f>IF(L46="Não",1,0)</f>
        <v>0</v>
      </c>
      <c r="Q73" s="32">
        <f>IF(L48="Não",1,0)</f>
        <v>0</v>
      </c>
      <c r="R73" s="32">
        <f>IF(L50="Não",0,1)</f>
        <v>1</v>
      </c>
      <c r="S73" s="32">
        <f>IF(L52="Sim",1,0)</f>
        <v>0</v>
      </c>
      <c r="T73" s="32">
        <f>IF(L54="Não",1,0)</f>
        <v>0</v>
      </c>
      <c r="U73" s="32">
        <f>IF(L59="Sim",0,1)</f>
        <v>0</v>
      </c>
      <c r="V73" s="32">
        <f>IF(L61="Sim",1,0)</f>
        <v>0</v>
      </c>
      <c r="W73" s="32">
        <f>IF(L63="Sim",0,1)</f>
        <v>0</v>
      </c>
    </row>
    <row r="74" spans="1:28" s="32" customFormat="1" x14ac:dyDescent="0.25">
      <c r="A74" s="96">
        <v>0.4</v>
      </c>
      <c r="B74" s="95"/>
      <c r="C74" s="95"/>
      <c r="D74" s="96">
        <v>0.4</v>
      </c>
      <c r="E74" s="96"/>
      <c r="F74" s="96"/>
      <c r="G74" s="96"/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>
        <v>0.2</v>
      </c>
      <c r="V74" s="96"/>
      <c r="W74" s="96"/>
      <c r="Z74" s="95" t="s">
        <v>58</v>
      </c>
      <c r="AA74" s="95"/>
      <c r="AB74" s="95"/>
    </row>
    <row r="75" spans="1:28" s="32" customFormat="1" x14ac:dyDescent="0.25">
      <c r="A75" s="95">
        <f>SUM(A73:C73)</f>
        <v>5</v>
      </c>
      <c r="B75" s="95"/>
      <c r="C75" s="95"/>
      <c r="D75" s="95">
        <f>SUM(D73:J73)</f>
        <v>2</v>
      </c>
      <c r="E75" s="95"/>
      <c r="F75" s="95"/>
      <c r="G75" s="95"/>
      <c r="H75" s="95"/>
      <c r="I75" s="95"/>
      <c r="J75" s="95"/>
      <c r="K75" s="95"/>
      <c r="L75" s="95"/>
      <c r="M75" s="95"/>
      <c r="N75" s="95"/>
      <c r="O75" s="95"/>
      <c r="P75" s="95"/>
      <c r="Q75" s="95"/>
      <c r="R75" s="95"/>
      <c r="S75" s="95"/>
      <c r="T75" s="95"/>
      <c r="U75" s="95">
        <f>SUM(K73:N73)</f>
        <v>1</v>
      </c>
      <c r="V75" s="95"/>
      <c r="W75" s="95"/>
      <c r="Z75" s="34" t="s">
        <v>59</v>
      </c>
      <c r="AB75" s="32" t="s">
        <v>60</v>
      </c>
    </row>
    <row r="76" spans="1:28" s="32" customFormat="1" x14ac:dyDescent="0.25">
      <c r="A76" s="95">
        <f>A75*100/8*A74</f>
        <v>25</v>
      </c>
      <c r="B76" s="95"/>
      <c r="C76" s="95"/>
      <c r="D76" s="95">
        <f>D75*100/7*D74</f>
        <v>11.428571428571431</v>
      </c>
      <c r="E76" s="95"/>
      <c r="F76" s="95"/>
      <c r="G76" s="95"/>
      <c r="H76" s="95"/>
      <c r="I76" s="95"/>
      <c r="J76" s="95"/>
      <c r="K76" s="95"/>
      <c r="L76" s="95"/>
      <c r="M76" s="95"/>
      <c r="N76" s="95"/>
      <c r="O76" s="95"/>
      <c r="P76" s="95"/>
      <c r="Q76" s="95"/>
      <c r="R76" s="95"/>
      <c r="S76" s="95"/>
      <c r="T76" s="95"/>
      <c r="U76" s="95">
        <f>U75*100/4*U74</f>
        <v>5</v>
      </c>
      <c r="V76" s="95"/>
      <c r="W76" s="95"/>
      <c r="Z76" s="34" t="s">
        <v>61</v>
      </c>
      <c r="AB76" s="32" t="s">
        <v>62</v>
      </c>
    </row>
    <row r="77" spans="1:28" s="32" customFormat="1" x14ac:dyDescent="0.25">
      <c r="A77" s="95">
        <f>SUM(A76:W76)</f>
        <v>41.428571428571431</v>
      </c>
      <c r="B77" s="95"/>
      <c r="C77" s="95"/>
      <c r="D77" s="95"/>
      <c r="E77" s="95"/>
      <c r="F77" s="95"/>
      <c r="G77" s="95"/>
      <c r="H77" s="95"/>
      <c r="I77" s="95"/>
      <c r="J77" s="95"/>
      <c r="K77" s="95"/>
      <c r="L77" s="95"/>
      <c r="M77" s="95"/>
      <c r="N77" s="95"/>
      <c r="O77" s="95"/>
      <c r="P77" s="95"/>
      <c r="Q77" s="95"/>
      <c r="R77" s="95"/>
      <c r="S77" s="95"/>
      <c r="T77" s="95"/>
      <c r="U77" s="95"/>
      <c r="V77" s="95"/>
      <c r="W77" s="95"/>
      <c r="Z77" s="34" t="s">
        <v>63</v>
      </c>
      <c r="AB77" s="32" t="s">
        <v>64</v>
      </c>
    </row>
    <row r="78" spans="1:28" s="32" customFormat="1" x14ac:dyDescent="0.25">
      <c r="A78" s="95" t="str">
        <f>IF(A77&gt;80,"RISCO MUITO ALTO",IF(A77&lt;20,"RISCO MUITO BAIXO",IF(AND(A77&gt;=40,A77&lt;60),"RISCO MÉDIO",IF(AND(A77&gt;=60,A77&lt;80),"RISCO ALTO","RISCO BAIXO"))))</f>
        <v>RISCO MÉDIO</v>
      </c>
      <c r="B78" s="95"/>
      <c r="C78" s="95"/>
      <c r="D78" s="95"/>
      <c r="E78" s="95"/>
      <c r="F78" s="95"/>
      <c r="G78" s="95"/>
      <c r="H78" s="95"/>
      <c r="I78" s="95"/>
      <c r="J78" s="95"/>
      <c r="K78" s="95"/>
      <c r="L78" s="95"/>
      <c r="M78" s="95"/>
      <c r="N78" s="95"/>
      <c r="O78" s="95"/>
      <c r="P78" s="95"/>
      <c r="Q78" s="95"/>
      <c r="R78" s="95"/>
      <c r="S78" s="95"/>
      <c r="T78" s="95"/>
      <c r="U78" s="95"/>
      <c r="V78" s="95"/>
      <c r="W78" s="95"/>
      <c r="Z78" s="34" t="s">
        <v>65</v>
      </c>
      <c r="AB78" s="32" t="s">
        <v>66</v>
      </c>
    </row>
    <row r="79" spans="1:28" s="32" customFormat="1" x14ac:dyDescent="0.25">
      <c r="Z79" s="34" t="s">
        <v>67</v>
      </c>
      <c r="AB79" s="32" t="s">
        <v>68</v>
      </c>
    </row>
    <row r="80" spans="1:28" s="32" customFormat="1" x14ac:dyDescent="0.25"/>
    <row r="81" spans="1:11" x14ac:dyDescent="0.25">
      <c r="A81" s="6" t="s">
        <v>23</v>
      </c>
      <c r="B81" s="7"/>
      <c r="C81" s="7"/>
      <c r="D81" s="7"/>
      <c r="E81" s="7"/>
      <c r="F81" s="7"/>
      <c r="G81" s="7"/>
      <c r="H81" s="7"/>
      <c r="I81" s="7"/>
      <c r="J81" s="7"/>
      <c r="K81" s="8"/>
    </row>
    <row r="82" spans="1:11" x14ac:dyDescent="0.25">
      <c r="A82" s="9"/>
      <c r="K82" s="10"/>
    </row>
    <row r="83" spans="1:11" x14ac:dyDescent="0.25">
      <c r="A83" s="9" t="s">
        <v>24</v>
      </c>
      <c r="B83" s="71" t="s">
        <v>26</v>
      </c>
      <c r="C83" s="72"/>
      <c r="D83" s="72"/>
      <c r="E83" s="72"/>
      <c r="F83" s="72"/>
      <c r="G83" s="72"/>
      <c r="H83" s="72"/>
      <c r="I83" s="72"/>
      <c r="J83" s="73"/>
      <c r="K83" s="10"/>
    </row>
    <row r="84" spans="1:11" x14ac:dyDescent="0.25">
      <c r="A84" s="9" t="s">
        <v>25</v>
      </c>
      <c r="B84" s="71" t="str">
        <f>_xlfn.IFNA(VLOOKUP(K5,NovoLVT!Q1:R7,2,0),"")</f>
        <v/>
      </c>
      <c r="C84" s="72"/>
      <c r="D84" s="72"/>
      <c r="E84" s="72"/>
      <c r="F84" s="72"/>
      <c r="G84" s="72"/>
      <c r="H84" s="72"/>
      <c r="I84" s="72"/>
      <c r="J84" s="73"/>
      <c r="K84" s="10"/>
    </row>
    <row r="85" spans="1:11" x14ac:dyDescent="0.25">
      <c r="A85" s="9"/>
      <c r="K85" s="10"/>
    </row>
    <row r="86" spans="1:11" x14ac:dyDescent="0.25">
      <c r="A86" s="9" t="s">
        <v>27</v>
      </c>
      <c r="B86" s="71" t="str">
        <f>"Avaliação de LVT"&amp;" - "&amp;E5</f>
        <v>Avaliação de LVT - Rio Brisas Guadalupe 42312</v>
      </c>
      <c r="C86" s="72"/>
      <c r="D86" s="72"/>
      <c r="E86" s="72"/>
      <c r="F86" s="72"/>
      <c r="G86" s="72"/>
      <c r="H86" s="72"/>
      <c r="I86" s="72"/>
      <c r="J86" s="73"/>
      <c r="K86" s="10"/>
    </row>
    <row r="87" spans="1:11" x14ac:dyDescent="0.25">
      <c r="A87" s="9"/>
      <c r="K87" s="10"/>
    </row>
    <row r="88" spans="1:11" x14ac:dyDescent="0.25">
      <c r="A88" s="9" t="s">
        <v>28</v>
      </c>
      <c r="B88" s="74" t="str">
        <f>_xlfn.IFNA("Senhor Coordenador;
"&amp;"
1. Informo que foi avaliado o Laudo de Vistoria de Terreno (LVT) "&amp;E5&amp;";"&amp;
"
2. Número do Siopi (pré-contratação): "&amp;VLOOKUP(E5,BD_LVT!B:D,2,0)&amp;";  APF: "&amp;VLOOKUP(E5,BD_LVT!B:D,3,0)&amp;";
3. O grau de risco do terreno é: "&amp;G8&amp;"
4. Recomendamos atenção aos itens para a análise:
Atenciosamente;","")</f>
        <v>Senhor Coordenador;
1. Informo que foi avaliado o Laudo de Vistoria de Terreno (LVT) Rio Brisas Guadalupe 42312;
2. Número do Siopi (pré-contratação): 42312;  APF: 0627534-39;
3. O grau de risco do terreno é: RISCO MÉDIO
4. Recomendamos atenção aos itens para a análise:
Atenciosamente;</v>
      </c>
      <c r="C88" s="75"/>
      <c r="D88" s="75"/>
      <c r="E88" s="75"/>
      <c r="F88" s="75"/>
      <c r="G88" s="75"/>
      <c r="H88" s="75"/>
      <c r="I88" s="75"/>
      <c r="J88" s="76"/>
      <c r="K88" s="10"/>
    </row>
    <row r="89" spans="1:11" x14ac:dyDescent="0.25">
      <c r="A89" s="9"/>
      <c r="B89" s="77"/>
      <c r="C89" s="78"/>
      <c r="D89" s="78"/>
      <c r="E89" s="78"/>
      <c r="F89" s="78"/>
      <c r="G89" s="78"/>
      <c r="H89" s="78"/>
      <c r="I89" s="78"/>
      <c r="J89" s="79"/>
      <c r="K89" s="10"/>
    </row>
    <row r="90" spans="1:11" x14ac:dyDescent="0.25">
      <c r="A90" s="9"/>
      <c r="B90" s="77"/>
      <c r="C90" s="78"/>
      <c r="D90" s="78"/>
      <c r="E90" s="78"/>
      <c r="F90" s="78"/>
      <c r="G90" s="78"/>
      <c r="H90" s="78"/>
      <c r="I90" s="78"/>
      <c r="J90" s="79"/>
      <c r="K90" s="10"/>
    </row>
    <row r="91" spans="1:11" x14ac:dyDescent="0.25">
      <c r="A91" s="9"/>
      <c r="B91" s="77"/>
      <c r="C91" s="78"/>
      <c r="D91" s="78"/>
      <c r="E91" s="78"/>
      <c r="F91" s="78"/>
      <c r="G91" s="78"/>
      <c r="H91" s="78"/>
      <c r="I91" s="78"/>
      <c r="J91" s="79"/>
      <c r="K91" s="10"/>
    </row>
    <row r="92" spans="1:11" x14ac:dyDescent="0.25">
      <c r="A92" s="9"/>
      <c r="B92" s="77"/>
      <c r="C92" s="78"/>
      <c r="D92" s="78"/>
      <c r="E92" s="78"/>
      <c r="F92" s="78"/>
      <c r="G92" s="78"/>
      <c r="H92" s="78"/>
      <c r="I92" s="78"/>
      <c r="J92" s="79"/>
      <c r="K92" s="10"/>
    </row>
    <row r="93" spans="1:11" x14ac:dyDescent="0.25">
      <c r="A93" s="9"/>
      <c r="B93" s="77"/>
      <c r="C93" s="78"/>
      <c r="D93" s="78"/>
      <c r="E93" s="78"/>
      <c r="F93" s="78"/>
      <c r="G93" s="78"/>
      <c r="H93" s="78"/>
      <c r="I93" s="78"/>
      <c r="J93" s="79"/>
      <c r="K93" s="10"/>
    </row>
    <row r="94" spans="1:11" x14ac:dyDescent="0.25">
      <c r="A94" s="9"/>
      <c r="B94" s="77"/>
      <c r="C94" s="78"/>
      <c r="D94" s="78"/>
      <c r="E94" s="78"/>
      <c r="F94" s="78"/>
      <c r="G94" s="78"/>
      <c r="H94" s="78"/>
      <c r="I94" s="78"/>
      <c r="J94" s="79"/>
      <c r="K94" s="10"/>
    </row>
    <row r="95" spans="1:11" x14ac:dyDescent="0.25">
      <c r="A95" s="9"/>
      <c r="B95" s="77"/>
      <c r="C95" s="78"/>
      <c r="D95" s="78"/>
      <c r="E95" s="78"/>
      <c r="F95" s="78"/>
      <c r="G95" s="78"/>
      <c r="H95" s="78"/>
      <c r="I95" s="78"/>
      <c r="J95" s="79"/>
      <c r="K95" s="10"/>
    </row>
    <row r="96" spans="1:11" x14ac:dyDescent="0.25">
      <c r="A96" s="9"/>
      <c r="B96" s="77"/>
      <c r="C96" s="78"/>
      <c r="D96" s="78"/>
      <c r="E96" s="78"/>
      <c r="F96" s="78"/>
      <c r="G96" s="78"/>
      <c r="H96" s="78"/>
      <c r="I96" s="78"/>
      <c r="J96" s="79"/>
      <c r="K96" s="10"/>
    </row>
    <row r="97" spans="1:11" x14ac:dyDescent="0.25">
      <c r="A97" s="9"/>
      <c r="B97" s="77"/>
      <c r="C97" s="78"/>
      <c r="D97" s="78"/>
      <c r="E97" s="78"/>
      <c r="F97" s="78"/>
      <c r="G97" s="78"/>
      <c r="H97" s="78"/>
      <c r="I97" s="78"/>
      <c r="J97" s="79"/>
      <c r="K97" s="10"/>
    </row>
    <row r="98" spans="1:11" x14ac:dyDescent="0.25">
      <c r="A98" s="9"/>
      <c r="B98" s="77"/>
      <c r="C98" s="78"/>
      <c r="D98" s="78"/>
      <c r="E98" s="78"/>
      <c r="F98" s="78"/>
      <c r="G98" s="78"/>
      <c r="H98" s="78"/>
      <c r="I98" s="78"/>
      <c r="J98" s="79"/>
      <c r="K98" s="10"/>
    </row>
    <row r="99" spans="1:11" x14ac:dyDescent="0.25">
      <c r="A99" s="9"/>
      <c r="B99" s="80"/>
      <c r="C99" s="81"/>
      <c r="D99" s="81"/>
      <c r="E99" s="81"/>
      <c r="F99" s="81"/>
      <c r="G99" s="81"/>
      <c r="H99" s="81"/>
      <c r="I99" s="81"/>
      <c r="J99" s="82"/>
      <c r="K99" s="10"/>
    </row>
    <row r="100" spans="1:11" x14ac:dyDescent="0.25">
      <c r="A100" s="9"/>
      <c r="K100" s="10"/>
    </row>
    <row r="101" spans="1:11" x14ac:dyDescent="0.25">
      <c r="A101" s="11"/>
      <c r="B101" s="12"/>
      <c r="C101" s="12"/>
      <c r="D101" s="12"/>
      <c r="E101" s="12"/>
      <c r="F101" s="12"/>
      <c r="G101" s="12"/>
      <c r="H101" s="12"/>
      <c r="I101" s="12"/>
      <c r="J101" s="12"/>
      <c r="K101" s="13"/>
    </row>
  </sheetData>
  <mergeCells count="36">
    <mergeCell ref="U71:W71"/>
    <mergeCell ref="D71:T71"/>
    <mergeCell ref="F13:J13"/>
    <mergeCell ref="A78:W78"/>
    <mergeCell ref="A2:O2"/>
    <mergeCell ref="K5:M5"/>
    <mergeCell ref="F15:G15"/>
    <mergeCell ref="G8:I8"/>
    <mergeCell ref="A75:C75"/>
    <mergeCell ref="L52:M52"/>
    <mergeCell ref="L59:M59"/>
    <mergeCell ref="L61:M61"/>
    <mergeCell ref="L63:M63"/>
    <mergeCell ref="A77:W77"/>
    <mergeCell ref="A76:C76"/>
    <mergeCell ref="U75:W75"/>
    <mergeCell ref="A71:C71"/>
    <mergeCell ref="E5:F5"/>
    <mergeCell ref="A74:C74"/>
    <mergeCell ref="L26:M26"/>
    <mergeCell ref="L30:M30"/>
    <mergeCell ref="L34:M34"/>
    <mergeCell ref="L38:M38"/>
    <mergeCell ref="L42:M42"/>
    <mergeCell ref="F17:G17"/>
    <mergeCell ref="L22:M22"/>
    <mergeCell ref="D74:T74"/>
    <mergeCell ref="B83:J83"/>
    <mergeCell ref="B84:J84"/>
    <mergeCell ref="B86:J86"/>
    <mergeCell ref="B88:J99"/>
    <mergeCell ref="Z74:AB74"/>
    <mergeCell ref="U74:W74"/>
    <mergeCell ref="D75:T75"/>
    <mergeCell ref="U76:W76"/>
    <mergeCell ref="D76:T76"/>
  </mergeCells>
  <conditionalFormatting sqref="L24">
    <cfRule type="expression" dxfId="19" priority="14">
      <formula>$L$22="Sim"</formula>
    </cfRule>
  </conditionalFormatting>
  <conditionalFormatting sqref="L28">
    <cfRule type="expression" dxfId="18" priority="13">
      <formula>$L$26="Sim"</formula>
    </cfRule>
  </conditionalFormatting>
  <conditionalFormatting sqref="L32">
    <cfRule type="expression" dxfId="17" priority="12">
      <formula>$L$30="Sim"</formula>
    </cfRule>
  </conditionalFormatting>
  <conditionalFormatting sqref="L36">
    <cfRule type="expression" dxfId="16" priority="11">
      <formula>$L$34="Sim"</formula>
    </cfRule>
  </conditionalFormatting>
  <conditionalFormatting sqref="L40">
    <cfRule type="expression" dxfId="15" priority="10">
      <formula>$L$38="Sim"</formula>
    </cfRule>
  </conditionalFormatting>
  <conditionalFormatting sqref="L44">
    <cfRule type="expression" dxfId="14" priority="9">
      <formula>$L$42="Sim"</formula>
    </cfRule>
  </conditionalFormatting>
  <conditionalFormatting sqref="L46">
    <cfRule type="expression" dxfId="13" priority="4">
      <formula>$L$42="Sim"</formula>
    </cfRule>
  </conditionalFormatting>
  <conditionalFormatting sqref="L48">
    <cfRule type="expression" dxfId="12" priority="3">
      <formula>$L$42="Sim"</formula>
    </cfRule>
  </conditionalFormatting>
  <conditionalFormatting sqref="L50">
    <cfRule type="expression" dxfId="11" priority="2">
      <formula>$L$42="Sim"</formula>
    </cfRule>
  </conditionalFormatting>
  <conditionalFormatting sqref="L54">
    <cfRule type="expression" dxfId="10" priority="1">
      <formula>$L$52="Sim"</formula>
    </cfRule>
  </conditionalFormatting>
  <dataValidations count="3">
    <dataValidation type="list" allowBlank="1" showInputMessage="1" showErrorMessage="1" sqref="L61:M61 F15:G15 F17:G17 M42:M50 L42" xr:uid="{3FF100A9-99AA-49B0-8C85-64412447DCFD}">
      <formula1>$T$1:$T$3</formula1>
    </dataValidation>
    <dataValidation type="list" allowBlank="1" showInputMessage="1" showErrorMessage="1" sqref="L24 L32 L36 L40 L59:M59 L52:M53 L63:M63 L54 L50 L44 L46 L48 M38:M40 L38 M34:M36 L34 M30:M32 L30 M26:M28 L26 M22:M23 L22" xr:uid="{83239AFA-85DE-41A1-BE06-38F46FBC1386}">
      <formula1>$T$1:$T$2</formula1>
    </dataValidation>
    <dataValidation type="list" allowBlank="1" showInputMessage="1" showErrorMessage="1" sqref="L28" xr:uid="{4A5493BE-A909-4E59-A442-7C6DD1917E4C}">
      <formula1>$V$1:$V$3</formula1>
    </dataValidation>
  </dataValidations>
  <pageMargins left="0.511811024" right="0.511811024" top="0.78740157499999996" bottom="0.78740157499999996" header="0.31496062000000002" footer="0.31496062000000002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68" r:id="rId3" name="Button 20">
              <controlPr defaultSize="0" print="0" autoFill="0" autoPict="0" macro="[0]!INSERIR_AVAL">
                <anchor moveWithCells="1" sizeWithCells="1">
                  <from>
                    <xdr:col>11</xdr:col>
                    <xdr:colOff>581025</xdr:colOff>
                    <xdr:row>66</xdr:row>
                    <xdr:rowOff>0</xdr:rowOff>
                  </from>
                  <to>
                    <xdr:col>14</xdr:col>
                    <xdr:colOff>180975</xdr:colOff>
                    <xdr:row>68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4" r:id="rId4" name="Button 26">
              <controlPr defaultSize="0" print="0" autoFill="0" autoPict="0" macro="[0]!email2">
                <anchor moveWithCells="1" sizeWithCells="1">
                  <from>
                    <xdr:col>8</xdr:col>
                    <xdr:colOff>409575</xdr:colOff>
                    <xdr:row>101</xdr:row>
                    <xdr:rowOff>85725</xdr:rowOff>
                  </from>
                  <to>
                    <xdr:col>11</xdr:col>
                    <xdr:colOff>0</xdr:colOff>
                    <xdr:row>103</xdr:row>
                    <xdr:rowOff>133350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77FD251-81A6-44A8-B617-7686D3D1E5B3}">
          <x14:formula1>
            <xm:f>BD_LVT!$B:$B</xm:f>
          </x14:formula1>
          <xm:sqref>E5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775310-90CD-4006-BD52-BA5A91F6E9BD}">
  <sheetPr codeName="Planilha3"/>
  <dimension ref="A1:AG6"/>
  <sheetViews>
    <sheetView zoomScaleNormal="100" workbookViewId="0">
      <selection activeCell="E6" sqref="E6"/>
    </sheetView>
  </sheetViews>
  <sheetFormatPr defaultRowHeight="15" x14ac:dyDescent="0.25"/>
  <cols>
    <col min="1" max="1" width="19.42578125" style="5" bestFit="1" customWidth="1"/>
    <col min="2" max="2" width="24.85546875" style="5" bestFit="1" customWidth="1"/>
    <col min="3" max="5" width="17.140625" style="5" customWidth="1"/>
    <col min="6" max="8" width="17.140625" style="66" customWidth="1"/>
    <col min="9" max="9" width="34.5703125" style="66" bestFit="1" customWidth="1"/>
    <col min="10" max="32" width="4.42578125" style="5" customWidth="1"/>
    <col min="33" max="33" width="9.140625" style="5"/>
  </cols>
  <sheetData>
    <row r="1" spans="1:33" x14ac:dyDescent="0.25">
      <c r="A1" s="5" t="s">
        <v>69</v>
      </c>
      <c r="B1" s="5" t="s">
        <v>70</v>
      </c>
      <c r="C1" s="5" t="s">
        <v>71</v>
      </c>
      <c r="D1" s="5" t="s">
        <v>72</v>
      </c>
      <c r="E1" s="5" t="s">
        <v>73</v>
      </c>
      <c r="F1" s="5" t="s">
        <v>74</v>
      </c>
      <c r="G1" s="5" t="s">
        <v>75</v>
      </c>
      <c r="H1" s="5" t="s">
        <v>76</v>
      </c>
      <c r="I1" s="5" t="s">
        <v>77</v>
      </c>
      <c r="J1" s="5">
        <v>1</v>
      </c>
      <c r="K1" s="5">
        <v>2</v>
      </c>
      <c r="L1" s="5">
        <v>3</v>
      </c>
      <c r="M1" s="5">
        <v>4</v>
      </c>
      <c r="N1" s="5">
        <v>5</v>
      </c>
      <c r="O1" s="5">
        <v>6</v>
      </c>
      <c r="P1" s="5">
        <v>7</v>
      </c>
      <c r="Q1" s="5">
        <v>8</v>
      </c>
      <c r="R1" s="5">
        <v>9</v>
      </c>
      <c r="S1" s="5">
        <v>10</v>
      </c>
      <c r="T1" s="5">
        <v>11</v>
      </c>
      <c r="U1" s="5">
        <v>12</v>
      </c>
      <c r="V1" s="5">
        <v>13</v>
      </c>
      <c r="W1" s="5">
        <v>14</v>
      </c>
      <c r="X1" s="5">
        <v>15</v>
      </c>
      <c r="Y1" s="5">
        <v>16</v>
      </c>
      <c r="Z1" s="5">
        <v>17</v>
      </c>
      <c r="AA1" s="5">
        <v>18</v>
      </c>
      <c r="AB1" s="5">
        <v>19</v>
      </c>
      <c r="AC1" s="5">
        <v>20</v>
      </c>
      <c r="AD1" s="5">
        <v>21</v>
      </c>
      <c r="AE1" s="5">
        <v>22</v>
      </c>
      <c r="AF1" s="5">
        <v>23</v>
      </c>
      <c r="AG1" s="5" t="s">
        <v>78</v>
      </c>
    </row>
    <row r="2" spans="1:33" x14ac:dyDescent="0.25">
      <c r="A2" s="5" t="s">
        <v>79</v>
      </c>
      <c r="B2" s="5" t="s">
        <v>80</v>
      </c>
      <c r="C2" s="5">
        <v>55036</v>
      </c>
      <c r="D2" s="5">
        <v>0</v>
      </c>
      <c r="E2" s="5" t="s">
        <v>3</v>
      </c>
      <c r="F2" s="66">
        <v>45793</v>
      </c>
      <c r="G2" s="66">
        <v>45800</v>
      </c>
      <c r="H2" s="66">
        <f>F2+10</f>
        <v>45803</v>
      </c>
      <c r="I2" s="66" t="s">
        <v>81</v>
      </c>
      <c r="J2" s="5">
        <v>4</v>
      </c>
      <c r="K2" s="5">
        <v>2</v>
      </c>
      <c r="L2" s="5">
        <v>1</v>
      </c>
      <c r="M2" s="5">
        <v>0</v>
      </c>
      <c r="N2" s="5">
        <v>0</v>
      </c>
      <c r="O2" s="5">
        <v>0</v>
      </c>
      <c r="P2" s="5">
        <v>0</v>
      </c>
      <c r="Q2" s="5">
        <v>0</v>
      </c>
      <c r="R2" s="5">
        <v>0</v>
      </c>
      <c r="S2" s="5">
        <v>0</v>
      </c>
      <c r="T2" s="5">
        <v>0</v>
      </c>
      <c r="U2" s="5">
        <v>0</v>
      </c>
      <c r="V2" s="5">
        <v>0</v>
      </c>
      <c r="W2" s="5">
        <v>0</v>
      </c>
      <c r="X2" s="5">
        <v>0</v>
      </c>
      <c r="Y2" s="5">
        <v>0</v>
      </c>
      <c r="Z2" s="5">
        <v>0</v>
      </c>
      <c r="AA2" s="5">
        <v>1</v>
      </c>
      <c r="AB2" s="5">
        <v>1</v>
      </c>
      <c r="AC2" s="5">
        <v>0</v>
      </c>
      <c r="AD2" s="5">
        <v>0</v>
      </c>
      <c r="AE2" s="5">
        <v>0</v>
      </c>
      <c r="AF2" s="5">
        <v>0</v>
      </c>
      <c r="AG2" s="5" t="s">
        <v>82</v>
      </c>
    </row>
    <row r="3" spans="1:33" x14ac:dyDescent="0.25">
      <c r="A3" s="5" t="s">
        <v>83</v>
      </c>
      <c r="B3" s="5" t="s">
        <v>84</v>
      </c>
      <c r="C3" s="5">
        <v>54402</v>
      </c>
      <c r="D3" s="5">
        <v>0</v>
      </c>
      <c r="E3" s="5" t="s">
        <v>5</v>
      </c>
      <c r="F3" s="66">
        <v>45799</v>
      </c>
      <c r="G3" s="66">
        <v>45806</v>
      </c>
      <c r="H3" s="66">
        <v>45809</v>
      </c>
      <c r="I3" s="66">
        <v>0</v>
      </c>
    </row>
    <row r="4" spans="1:33" x14ac:dyDescent="0.25">
      <c r="A4" s="5" t="s">
        <v>85</v>
      </c>
      <c r="B4" s="5" t="s">
        <v>86</v>
      </c>
      <c r="C4" s="5">
        <v>54404</v>
      </c>
      <c r="D4" s="5">
        <v>0</v>
      </c>
      <c r="E4" s="5" t="s">
        <v>7</v>
      </c>
      <c r="F4" s="66">
        <v>45799</v>
      </c>
      <c r="G4" s="66">
        <v>45806</v>
      </c>
      <c r="H4" s="66">
        <v>45809</v>
      </c>
      <c r="I4" s="66">
        <v>0</v>
      </c>
    </row>
    <row r="5" spans="1:33" x14ac:dyDescent="0.25">
      <c r="A5" s="5" t="s">
        <v>87</v>
      </c>
      <c r="B5" s="5" t="s">
        <v>36</v>
      </c>
      <c r="C5" s="5">
        <v>42312</v>
      </c>
      <c r="D5" s="5" t="s">
        <v>88</v>
      </c>
      <c r="E5" s="5" t="s">
        <v>89</v>
      </c>
      <c r="F5" s="66">
        <v>45825</v>
      </c>
      <c r="G5" s="66">
        <v>45832</v>
      </c>
      <c r="H5" s="66">
        <v>45835</v>
      </c>
      <c r="I5" t="s">
        <v>90</v>
      </c>
    </row>
    <row r="6" spans="1:33" x14ac:dyDescent="0.25">
      <c r="A6" s="5" t="s">
        <v>91</v>
      </c>
      <c r="B6" s="5" t="s">
        <v>92</v>
      </c>
      <c r="C6" s="5">
        <v>57702</v>
      </c>
      <c r="D6" s="5" t="s">
        <v>93</v>
      </c>
      <c r="E6" s="5" t="s">
        <v>13</v>
      </c>
      <c r="F6" s="66">
        <v>45867</v>
      </c>
      <c r="G6" s="66">
        <v>45874</v>
      </c>
      <c r="H6" s="66">
        <v>45877</v>
      </c>
      <c r="I6" s="66" t="s">
        <v>21</v>
      </c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7E688-B5AE-4F3C-8B3E-ADAF7673F946}">
  <sheetPr codeName="Planilha4"/>
  <dimension ref="A1:B65"/>
  <sheetViews>
    <sheetView workbookViewId="0">
      <selection activeCell="A15" sqref="A15"/>
    </sheetView>
  </sheetViews>
  <sheetFormatPr defaultRowHeight="15" x14ac:dyDescent="0.25"/>
  <cols>
    <col min="1" max="1" width="48.140625" bestFit="1" customWidth="1"/>
  </cols>
  <sheetData>
    <row r="1" spans="1:2" x14ac:dyDescent="0.25">
      <c r="A1" t="s">
        <v>94</v>
      </c>
      <c r="B1" t="s">
        <v>95</v>
      </c>
    </row>
    <row r="2" spans="1:2" x14ac:dyDescent="0.25">
      <c r="A2" t="s">
        <v>96</v>
      </c>
      <c r="B2" t="s">
        <v>97</v>
      </c>
    </row>
    <row r="3" spans="1:2" x14ac:dyDescent="0.25">
      <c r="A3" t="s">
        <v>98</v>
      </c>
      <c r="B3" t="s">
        <v>97</v>
      </c>
    </row>
    <row r="4" spans="1:2" x14ac:dyDescent="0.25">
      <c r="A4" t="s">
        <v>99</v>
      </c>
      <c r="B4" t="s">
        <v>97</v>
      </c>
    </row>
    <row r="5" spans="1:2" x14ac:dyDescent="0.25">
      <c r="A5" t="s">
        <v>100</v>
      </c>
      <c r="B5" t="s">
        <v>97</v>
      </c>
    </row>
    <row r="6" spans="1:2" x14ac:dyDescent="0.25">
      <c r="A6" t="s">
        <v>101</v>
      </c>
      <c r="B6" t="s">
        <v>102</v>
      </c>
    </row>
    <row r="7" spans="1:2" x14ac:dyDescent="0.25">
      <c r="A7" t="s">
        <v>103</v>
      </c>
      <c r="B7" t="s">
        <v>97</v>
      </c>
    </row>
    <row r="8" spans="1:2" x14ac:dyDescent="0.25">
      <c r="A8" t="s">
        <v>104</v>
      </c>
      <c r="B8" t="s">
        <v>97</v>
      </c>
    </row>
    <row r="9" spans="1:2" x14ac:dyDescent="0.25">
      <c r="A9" t="s">
        <v>105</v>
      </c>
      <c r="B9" t="s">
        <v>106</v>
      </c>
    </row>
    <row r="10" spans="1:2" x14ac:dyDescent="0.25">
      <c r="A10" t="s">
        <v>107</v>
      </c>
      <c r="B10" t="s">
        <v>95</v>
      </c>
    </row>
    <row r="11" spans="1:2" x14ac:dyDescent="0.25">
      <c r="A11" t="s">
        <v>108</v>
      </c>
      <c r="B11" t="s">
        <v>109</v>
      </c>
    </row>
    <row r="12" spans="1:2" x14ac:dyDescent="0.25">
      <c r="A12" t="s">
        <v>110</v>
      </c>
      <c r="B12" t="s">
        <v>109</v>
      </c>
    </row>
    <row r="13" spans="1:2" x14ac:dyDescent="0.25">
      <c r="A13" t="s">
        <v>81</v>
      </c>
      <c r="B13" t="s">
        <v>97</v>
      </c>
    </row>
    <row r="14" spans="1:2" x14ac:dyDescent="0.25">
      <c r="A14" t="s">
        <v>111</v>
      </c>
      <c r="B14" t="s">
        <v>95</v>
      </c>
    </row>
    <row r="15" spans="1:2" x14ac:dyDescent="0.25">
      <c r="A15" t="s">
        <v>90</v>
      </c>
      <c r="B15" t="s">
        <v>97</v>
      </c>
    </row>
    <row r="16" spans="1:2" x14ac:dyDescent="0.25">
      <c r="A16" t="s">
        <v>112</v>
      </c>
      <c r="B16" t="s">
        <v>109</v>
      </c>
    </row>
    <row r="17" spans="1:2" x14ac:dyDescent="0.25">
      <c r="A17" t="s">
        <v>113</v>
      </c>
      <c r="B17" t="s">
        <v>97</v>
      </c>
    </row>
    <row r="18" spans="1:2" x14ac:dyDescent="0.25">
      <c r="A18" t="s">
        <v>114</v>
      </c>
      <c r="B18" t="s">
        <v>106</v>
      </c>
    </row>
    <row r="19" spans="1:2" x14ac:dyDescent="0.25">
      <c r="A19" t="s">
        <v>115</v>
      </c>
      <c r="B19" t="s">
        <v>106</v>
      </c>
    </row>
    <row r="20" spans="1:2" x14ac:dyDescent="0.25">
      <c r="A20" t="s">
        <v>116</v>
      </c>
      <c r="B20" t="s">
        <v>109</v>
      </c>
    </row>
    <row r="21" spans="1:2" x14ac:dyDescent="0.25">
      <c r="A21" t="s">
        <v>117</v>
      </c>
      <c r="B21" t="s">
        <v>106</v>
      </c>
    </row>
    <row r="22" spans="1:2" x14ac:dyDescent="0.25">
      <c r="A22" t="s">
        <v>118</v>
      </c>
      <c r="B22" t="s">
        <v>97</v>
      </c>
    </row>
    <row r="23" spans="1:2" x14ac:dyDescent="0.25">
      <c r="A23" t="s">
        <v>119</v>
      </c>
      <c r="B23" t="s">
        <v>106</v>
      </c>
    </row>
    <row r="24" spans="1:2" x14ac:dyDescent="0.25">
      <c r="A24" t="s">
        <v>120</v>
      </c>
      <c r="B24" t="s">
        <v>102</v>
      </c>
    </row>
    <row r="25" spans="1:2" x14ac:dyDescent="0.25">
      <c r="A25" t="s">
        <v>121</v>
      </c>
      <c r="B25" t="s">
        <v>97</v>
      </c>
    </row>
    <row r="26" spans="1:2" x14ac:dyDescent="0.25">
      <c r="A26" t="s">
        <v>122</v>
      </c>
      <c r="B26" t="s">
        <v>106</v>
      </c>
    </row>
    <row r="27" spans="1:2" x14ac:dyDescent="0.25">
      <c r="A27" t="s">
        <v>123</v>
      </c>
      <c r="B27" t="s">
        <v>97</v>
      </c>
    </row>
    <row r="28" spans="1:2" x14ac:dyDescent="0.25">
      <c r="A28" t="s">
        <v>124</v>
      </c>
      <c r="B28" t="s">
        <v>97</v>
      </c>
    </row>
    <row r="29" spans="1:2" x14ac:dyDescent="0.25">
      <c r="A29" t="s">
        <v>125</v>
      </c>
      <c r="B29" t="s">
        <v>97</v>
      </c>
    </row>
    <row r="30" spans="1:2" x14ac:dyDescent="0.25">
      <c r="A30" t="s">
        <v>126</v>
      </c>
      <c r="B30" t="s">
        <v>95</v>
      </c>
    </row>
    <row r="31" spans="1:2" x14ac:dyDescent="0.25">
      <c r="A31" t="s">
        <v>127</v>
      </c>
      <c r="B31" t="s">
        <v>95</v>
      </c>
    </row>
    <row r="32" spans="1:2" x14ac:dyDescent="0.25">
      <c r="A32" t="s">
        <v>128</v>
      </c>
      <c r="B32" t="s">
        <v>97</v>
      </c>
    </row>
    <row r="33" spans="1:2" x14ac:dyDescent="0.25">
      <c r="A33" t="s">
        <v>129</v>
      </c>
      <c r="B33" t="s">
        <v>95</v>
      </c>
    </row>
    <row r="34" spans="1:2" x14ac:dyDescent="0.25">
      <c r="A34" t="s">
        <v>130</v>
      </c>
      <c r="B34" t="s">
        <v>97</v>
      </c>
    </row>
    <row r="35" spans="1:2" x14ac:dyDescent="0.25">
      <c r="A35" t="s">
        <v>131</v>
      </c>
      <c r="B35" t="s">
        <v>95</v>
      </c>
    </row>
    <row r="36" spans="1:2" x14ac:dyDescent="0.25">
      <c r="A36" t="s">
        <v>132</v>
      </c>
      <c r="B36" t="s">
        <v>97</v>
      </c>
    </row>
    <row r="37" spans="1:2" x14ac:dyDescent="0.25">
      <c r="A37" t="s">
        <v>133</v>
      </c>
      <c r="B37" t="s">
        <v>109</v>
      </c>
    </row>
    <row r="38" spans="1:2" x14ac:dyDescent="0.25">
      <c r="A38" t="s">
        <v>134</v>
      </c>
      <c r="B38" t="s">
        <v>97</v>
      </c>
    </row>
    <row r="39" spans="1:2" x14ac:dyDescent="0.25">
      <c r="A39" t="s">
        <v>135</v>
      </c>
      <c r="B39" t="s">
        <v>106</v>
      </c>
    </row>
    <row r="40" spans="1:2" x14ac:dyDescent="0.25">
      <c r="A40" t="s">
        <v>136</v>
      </c>
      <c r="B40" t="s">
        <v>106</v>
      </c>
    </row>
    <row r="41" spans="1:2" x14ac:dyDescent="0.25">
      <c r="A41" t="s">
        <v>137</v>
      </c>
      <c r="B41" t="s">
        <v>95</v>
      </c>
    </row>
    <row r="42" spans="1:2" x14ac:dyDescent="0.25">
      <c r="A42" t="s">
        <v>138</v>
      </c>
      <c r="B42" t="s">
        <v>97</v>
      </c>
    </row>
    <row r="43" spans="1:2" x14ac:dyDescent="0.25">
      <c r="A43" t="s">
        <v>139</v>
      </c>
      <c r="B43" t="s">
        <v>106</v>
      </c>
    </row>
    <row r="44" spans="1:2" x14ac:dyDescent="0.25">
      <c r="A44" t="s">
        <v>140</v>
      </c>
      <c r="B44" t="s">
        <v>97</v>
      </c>
    </row>
    <row r="45" spans="1:2" x14ac:dyDescent="0.25">
      <c r="A45" t="s">
        <v>141</v>
      </c>
      <c r="B45" t="s">
        <v>95</v>
      </c>
    </row>
    <row r="46" spans="1:2" x14ac:dyDescent="0.25">
      <c r="A46" t="s">
        <v>142</v>
      </c>
      <c r="B46" t="s">
        <v>95</v>
      </c>
    </row>
    <row r="47" spans="1:2" x14ac:dyDescent="0.25">
      <c r="A47" t="s">
        <v>143</v>
      </c>
      <c r="B47" t="s">
        <v>97</v>
      </c>
    </row>
    <row r="48" spans="1:2" x14ac:dyDescent="0.25">
      <c r="A48" t="s">
        <v>144</v>
      </c>
      <c r="B48" t="s">
        <v>97</v>
      </c>
    </row>
    <row r="49" spans="1:2" x14ac:dyDescent="0.25">
      <c r="A49" t="s">
        <v>145</v>
      </c>
      <c r="B49" t="s">
        <v>106</v>
      </c>
    </row>
    <row r="50" spans="1:2" x14ac:dyDescent="0.25">
      <c r="A50" t="s">
        <v>146</v>
      </c>
      <c r="B50" t="s">
        <v>106</v>
      </c>
    </row>
    <row r="51" spans="1:2" x14ac:dyDescent="0.25">
      <c r="A51" t="s">
        <v>147</v>
      </c>
      <c r="B51" t="s">
        <v>109</v>
      </c>
    </row>
    <row r="52" spans="1:2" x14ac:dyDescent="0.25">
      <c r="A52" t="s">
        <v>148</v>
      </c>
      <c r="B52" t="s">
        <v>95</v>
      </c>
    </row>
    <row r="53" spans="1:2" x14ac:dyDescent="0.25">
      <c r="A53" t="s">
        <v>149</v>
      </c>
      <c r="B53" t="s">
        <v>109</v>
      </c>
    </row>
    <row r="54" spans="1:2" x14ac:dyDescent="0.25">
      <c r="A54" t="s">
        <v>150</v>
      </c>
      <c r="B54" t="s">
        <v>106</v>
      </c>
    </row>
    <row r="55" spans="1:2" x14ac:dyDescent="0.25">
      <c r="A55" t="s">
        <v>151</v>
      </c>
      <c r="B55" t="s">
        <v>95</v>
      </c>
    </row>
    <row r="56" spans="1:2" x14ac:dyDescent="0.25">
      <c r="A56" t="s">
        <v>151</v>
      </c>
      <c r="B56" t="s">
        <v>95</v>
      </c>
    </row>
    <row r="57" spans="1:2" x14ac:dyDescent="0.25">
      <c r="A57" t="s">
        <v>152</v>
      </c>
      <c r="B57" t="s">
        <v>109</v>
      </c>
    </row>
    <row r="58" spans="1:2" x14ac:dyDescent="0.25">
      <c r="A58" t="s">
        <v>153</v>
      </c>
      <c r="B58" t="s">
        <v>97</v>
      </c>
    </row>
    <row r="59" spans="1:2" x14ac:dyDescent="0.25">
      <c r="A59" t="s">
        <v>154</v>
      </c>
      <c r="B59" t="s">
        <v>106</v>
      </c>
    </row>
    <row r="60" spans="1:2" x14ac:dyDescent="0.25">
      <c r="A60" t="s">
        <v>155</v>
      </c>
      <c r="B60" t="s">
        <v>97</v>
      </c>
    </row>
    <row r="61" spans="1:2" x14ac:dyDescent="0.25">
      <c r="A61" t="s">
        <v>156</v>
      </c>
      <c r="B61" t="s">
        <v>106</v>
      </c>
    </row>
    <row r="62" spans="1:2" x14ac:dyDescent="0.25">
      <c r="A62" t="s">
        <v>157</v>
      </c>
      <c r="B62" t="s">
        <v>109</v>
      </c>
    </row>
    <row r="63" spans="1:2" x14ac:dyDescent="0.25">
      <c r="A63" t="s">
        <v>158</v>
      </c>
      <c r="B63" t="s">
        <v>109</v>
      </c>
    </row>
    <row r="64" spans="1:2" x14ac:dyDescent="0.25">
      <c r="A64" t="s">
        <v>159</v>
      </c>
      <c r="B64" t="s">
        <v>102</v>
      </c>
    </row>
    <row r="65" spans="1:2" x14ac:dyDescent="0.25">
      <c r="A65" t="s">
        <v>160</v>
      </c>
      <c r="B65" t="s">
        <v>106</v>
      </c>
    </row>
  </sheetData>
  <sortState xmlns:xlrd2="http://schemas.microsoft.com/office/spreadsheetml/2017/richdata2" ref="A1:B65">
    <sortCondition ref="A1:A65"/>
  </sortState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FD208-DBA9-4325-9362-5FFC607FE477}">
  <sheetPr codeName="Planilha5"/>
  <dimension ref="A1:AB80"/>
  <sheetViews>
    <sheetView zoomScale="85" zoomScaleNormal="85" workbookViewId="0">
      <selection activeCell="J10" sqref="J10"/>
    </sheetView>
  </sheetViews>
  <sheetFormatPr defaultColWidth="9.140625" defaultRowHeight="15" x14ac:dyDescent="0.25"/>
  <cols>
    <col min="1" max="1" width="4.7109375" style="1" customWidth="1"/>
    <col min="2" max="11" width="9.140625" style="1"/>
    <col min="12" max="12" width="15.7109375" style="1" customWidth="1"/>
    <col min="13" max="13" width="14.5703125" style="1" customWidth="1"/>
    <col min="14" max="16384" width="9.140625" style="1"/>
  </cols>
  <sheetData>
    <row r="1" spans="1:22" x14ac:dyDescent="0.25">
      <c r="T1" s="24" t="s">
        <v>29</v>
      </c>
      <c r="U1" s="24"/>
      <c r="V1" s="24" t="s">
        <v>30</v>
      </c>
    </row>
    <row r="2" spans="1:22" ht="31.5" x14ac:dyDescent="0.5">
      <c r="A2" s="104" t="s">
        <v>161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6"/>
      <c r="T2" s="24" t="s">
        <v>32</v>
      </c>
      <c r="U2" s="24"/>
      <c r="V2" s="24" t="s">
        <v>33</v>
      </c>
    </row>
    <row r="3" spans="1:22" x14ac:dyDescent="0.25">
      <c r="A3" s="40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1"/>
      <c r="T3" s="24" t="s">
        <v>34</v>
      </c>
      <c r="U3" s="24"/>
      <c r="V3" s="24" t="s">
        <v>32</v>
      </c>
    </row>
    <row r="4" spans="1:22" x14ac:dyDescent="0.25">
      <c r="A4" s="40"/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1"/>
    </row>
    <row r="5" spans="1:22" x14ac:dyDescent="0.25">
      <c r="A5" s="40" t="s">
        <v>35</v>
      </c>
      <c r="B5" s="40"/>
      <c r="C5" s="40"/>
      <c r="D5" s="40"/>
      <c r="E5" s="89" t="s">
        <v>92</v>
      </c>
      <c r="F5" s="91"/>
      <c r="G5" s="40"/>
      <c r="H5" s="40"/>
      <c r="I5" s="40" t="s">
        <v>37</v>
      </c>
      <c r="J5" s="40"/>
      <c r="K5" s="107" t="str">
        <f>_xlfn.IFNA(VLOOKUP(E5,BD_LVT!B:E,4,0),"")</f>
        <v>Luiz Sérgio</v>
      </c>
      <c r="L5" s="107"/>
      <c r="M5" s="107"/>
      <c r="N5" s="40"/>
      <c r="O5" s="41"/>
    </row>
    <row r="6" spans="1:22" x14ac:dyDescent="0.25">
      <c r="A6" s="40"/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41"/>
    </row>
    <row r="7" spans="1:22" x14ac:dyDescent="0.25">
      <c r="A7" s="40"/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1"/>
    </row>
    <row r="8" spans="1:22" x14ac:dyDescent="0.25">
      <c r="A8" s="40"/>
      <c r="B8" s="40"/>
      <c r="C8" s="40"/>
      <c r="D8" s="40"/>
      <c r="E8" s="40" t="s">
        <v>38</v>
      </c>
      <c r="F8" s="40"/>
      <c r="G8" s="107" t="str">
        <f>A78</f>
        <v>RISCO MÉDIO</v>
      </c>
      <c r="H8" s="107"/>
      <c r="I8" s="107"/>
      <c r="J8" s="40"/>
      <c r="K8" s="40"/>
      <c r="L8" s="40"/>
      <c r="M8" s="40"/>
      <c r="N8" s="40"/>
      <c r="O8" s="41"/>
    </row>
    <row r="9" spans="1:22" x14ac:dyDescent="0.25">
      <c r="A9" s="40"/>
      <c r="B9" s="40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1"/>
    </row>
    <row r="10" spans="1:22" x14ac:dyDescent="0.25">
      <c r="A10" s="40"/>
      <c r="B10" s="40"/>
      <c r="C10" s="40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1"/>
    </row>
    <row r="11" spans="1:22" x14ac:dyDescent="0.25">
      <c r="A11" s="40" t="s">
        <v>39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1"/>
    </row>
    <row r="12" spans="1:22" x14ac:dyDescent="0.25">
      <c r="A12" s="42"/>
      <c r="B12" s="43"/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44"/>
      <c r="O12" s="41"/>
    </row>
    <row r="13" spans="1:22" x14ac:dyDescent="0.25">
      <c r="A13" s="45" t="s">
        <v>40</v>
      </c>
      <c r="B13" s="40"/>
      <c r="C13" s="40"/>
      <c r="D13" s="40"/>
      <c r="E13" s="40"/>
      <c r="F13" s="102">
        <f>VLOOKUP(E5,BD_LVT!B:I,7,0)</f>
        <v>45877</v>
      </c>
      <c r="G13" s="93"/>
      <c r="H13" s="93"/>
      <c r="I13" s="93"/>
      <c r="J13" s="94"/>
      <c r="K13" s="40"/>
      <c r="L13" s="65" t="str">
        <f>_xlfn.IFNA(VLOOKUP(F13,Empresas!A:B,2,0),"")</f>
        <v/>
      </c>
      <c r="M13" s="40"/>
      <c r="N13" s="46"/>
      <c r="O13" s="41"/>
    </row>
    <row r="14" spans="1:22" x14ac:dyDescent="0.25">
      <c r="A14" s="45"/>
      <c r="B14" s="40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6"/>
      <c r="O14" s="41"/>
    </row>
    <row r="15" spans="1:22" x14ac:dyDescent="0.25">
      <c r="A15" s="45" t="s">
        <v>41</v>
      </c>
      <c r="B15" s="40"/>
      <c r="C15" s="40"/>
      <c r="D15" s="40"/>
      <c r="E15" s="40"/>
      <c r="F15" s="102" t="str">
        <f>IF(VLOOKUP(E5,BD_LVT!B:AG,8,0)=0,"Não","Sim")</f>
        <v>Sim</v>
      </c>
      <c r="G15" s="94"/>
      <c r="H15" s="40"/>
      <c r="I15" s="40"/>
      <c r="J15" s="40"/>
      <c r="K15" s="40"/>
      <c r="L15" s="40"/>
      <c r="M15" s="40"/>
      <c r="N15" s="46"/>
      <c r="O15" s="41"/>
    </row>
    <row r="16" spans="1:22" x14ac:dyDescent="0.25">
      <c r="A16" s="45"/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6"/>
      <c r="O16" s="41"/>
    </row>
    <row r="17" spans="1:15" x14ac:dyDescent="0.25">
      <c r="A17" s="45" t="s">
        <v>42</v>
      </c>
      <c r="B17" s="40"/>
      <c r="C17" s="40"/>
      <c r="D17" s="40"/>
      <c r="E17" s="40"/>
      <c r="F17" s="102" t="str">
        <f>IF(VLOOKUP(E5,BD_LVT!B:J,8,0)=0,"Não","Sim")</f>
        <v>Sim</v>
      </c>
      <c r="G17" s="94"/>
      <c r="H17" s="40"/>
      <c r="I17" s="40"/>
      <c r="J17" s="40"/>
      <c r="K17" s="40"/>
      <c r="L17" s="40"/>
      <c r="M17" s="40"/>
      <c r="N17" s="46"/>
      <c r="O17" s="41"/>
    </row>
    <row r="18" spans="1:15" x14ac:dyDescent="0.25">
      <c r="A18" s="47"/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49"/>
      <c r="O18" s="41"/>
    </row>
    <row r="19" spans="1:15" x14ac:dyDescent="0.25">
      <c r="A19" s="40"/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1"/>
    </row>
    <row r="20" spans="1:15" x14ac:dyDescent="0.25">
      <c r="A20" s="40" t="s">
        <v>43</v>
      </c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1"/>
    </row>
    <row r="21" spans="1:15" x14ac:dyDescent="0.25">
      <c r="A21" s="50"/>
      <c r="B21" s="51"/>
      <c r="C21" s="51"/>
      <c r="D21" s="51"/>
      <c r="E21" s="51"/>
      <c r="F21" s="51"/>
      <c r="G21" s="51"/>
      <c r="H21" s="51"/>
      <c r="I21" s="51"/>
      <c r="J21" s="51"/>
      <c r="K21" s="51"/>
      <c r="L21" s="51"/>
      <c r="M21" s="51"/>
      <c r="N21" s="52"/>
      <c r="O21" s="41"/>
    </row>
    <row r="22" spans="1:15" ht="15" customHeight="1" x14ac:dyDescent="0.25">
      <c r="A22" s="53" t="s">
        <v>44</v>
      </c>
      <c r="B22" s="54"/>
      <c r="C22" s="54"/>
      <c r="D22" s="54"/>
      <c r="E22" s="54"/>
      <c r="F22" s="54"/>
      <c r="G22" s="54"/>
      <c r="H22" s="54"/>
      <c r="I22" s="54"/>
      <c r="J22" s="54"/>
      <c r="K22" s="40"/>
      <c r="L22" s="102" t="str">
        <f>IF(VLOOKUP(E5,BD_LVT!B:AG,9,0)=0,"Não","Sim")</f>
        <v>Não</v>
      </c>
      <c r="M22" s="94"/>
      <c r="N22" s="55"/>
      <c r="O22" s="41"/>
    </row>
    <row r="23" spans="1:15" ht="5.25" customHeight="1" x14ac:dyDescent="0.25">
      <c r="A23" s="53"/>
      <c r="B23" s="54"/>
      <c r="C23" s="54"/>
      <c r="D23" s="54"/>
      <c r="E23" s="54"/>
      <c r="F23" s="54"/>
      <c r="G23" s="54"/>
      <c r="H23" s="54"/>
      <c r="I23" s="54"/>
      <c r="J23" s="54"/>
      <c r="K23" s="40"/>
      <c r="L23" s="56"/>
      <c r="M23" s="56"/>
      <c r="N23" s="55"/>
      <c r="O23" s="41"/>
    </row>
    <row r="24" spans="1:15" x14ac:dyDescent="0.25">
      <c r="A24" s="57"/>
      <c r="B24" s="58" t="str">
        <f>IF(L22="Sim","A construtora sabe informar como será tratado o terreno ou como sera a concepção de drenagem?","")</f>
        <v/>
      </c>
      <c r="C24" s="54"/>
      <c r="D24" s="54"/>
      <c r="E24" s="54"/>
      <c r="F24" s="54"/>
      <c r="G24" s="54"/>
      <c r="H24" s="54"/>
      <c r="I24" s="54"/>
      <c r="J24" s="54"/>
      <c r="K24" s="40"/>
      <c r="L24" s="56" t="str">
        <f>IF(VLOOKUP(E5,BD_LVT!B:AG,10,0)=0,"Não","Sim")</f>
        <v>Não</v>
      </c>
      <c r="M24" s="40"/>
      <c r="N24" s="55"/>
      <c r="O24" s="41"/>
    </row>
    <row r="25" spans="1:15" x14ac:dyDescent="0.25">
      <c r="A25" s="59"/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55"/>
      <c r="O25" s="41"/>
    </row>
    <row r="26" spans="1:15" x14ac:dyDescent="0.25">
      <c r="A26" s="59" t="s">
        <v>45</v>
      </c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102" t="str">
        <f>IF(VLOOKUP(E5,BD_LVT!B:AG,11,0)=0,"Não","Sim")</f>
        <v>Não</v>
      </c>
      <c r="M26" s="94"/>
      <c r="N26" s="55"/>
      <c r="O26" s="41"/>
    </row>
    <row r="27" spans="1:15" ht="7.5" customHeight="1" x14ac:dyDescent="0.25">
      <c r="A27" s="59"/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56"/>
      <c r="M27" s="56"/>
      <c r="N27" s="55"/>
      <c r="O27" s="41"/>
    </row>
    <row r="28" spans="1:15" x14ac:dyDescent="0.25">
      <c r="A28" s="59"/>
      <c r="B28" s="58" t="str">
        <f>IF(L26="Sim","A construtora tem conhecimento do nível de cheia do curso d´água?","")</f>
        <v/>
      </c>
      <c r="C28" s="40"/>
      <c r="D28" s="40"/>
      <c r="E28" s="40"/>
      <c r="F28" s="40"/>
      <c r="G28" s="40"/>
      <c r="H28" s="40"/>
      <c r="I28" s="40"/>
      <c r="J28" s="40"/>
      <c r="K28" s="40"/>
      <c r="L28" s="108" t="str">
        <f>IF(VLOOKUP(E5,BD_LVT!B:AG,12,0)=0,"Sim, já tem estudo do nível de cheia",IF(VLOOKUP(E5,BD_LVT!B:AG,12,0)=1,"Sim, mas não tem estudos","Não"))</f>
        <v>Sim, já tem estudo do nível de cheia</v>
      </c>
      <c r="M28" s="109"/>
      <c r="N28" s="55"/>
      <c r="O28" s="41"/>
    </row>
    <row r="29" spans="1:15" x14ac:dyDescent="0.25">
      <c r="A29" s="59"/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55"/>
      <c r="O29" s="41"/>
    </row>
    <row r="30" spans="1:15" x14ac:dyDescent="0.25">
      <c r="A30" s="59" t="s">
        <v>46</v>
      </c>
      <c r="B30" s="40"/>
      <c r="C30" s="40"/>
      <c r="D30" s="40"/>
      <c r="E30" s="40"/>
      <c r="F30" s="40"/>
      <c r="G30" s="40"/>
      <c r="H30" s="40"/>
      <c r="I30" s="40"/>
      <c r="J30" s="40"/>
      <c r="K30" s="40"/>
      <c r="L30" s="102" t="str">
        <f>IF(VLOOKUP(E5,BD_LVT!B:AG,13,0)=0,"Não","Sim")</f>
        <v>Não</v>
      </c>
      <c r="M30" s="94"/>
      <c r="N30" s="55"/>
      <c r="O30" s="41"/>
    </row>
    <row r="31" spans="1:15" ht="5.25" customHeight="1" x14ac:dyDescent="0.25">
      <c r="A31" s="59"/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56"/>
      <c r="M31" s="56"/>
      <c r="N31" s="55"/>
      <c r="O31" s="41"/>
    </row>
    <row r="32" spans="1:15" x14ac:dyDescent="0.25">
      <c r="A32" s="59"/>
      <c r="B32" s="58" t="str">
        <f>IF(L30="Sim","A construtora tem conhecimento da presença de talvegue no terrreno? Irá edificar sobre?","")</f>
        <v/>
      </c>
      <c r="C32" s="40"/>
      <c r="D32" s="40"/>
      <c r="E32" s="40"/>
      <c r="F32" s="40"/>
      <c r="G32" s="40"/>
      <c r="H32" s="40"/>
      <c r="I32" s="40"/>
      <c r="J32" s="40"/>
      <c r="K32" s="40"/>
      <c r="L32" s="56" t="str">
        <f>IF(VLOOKUP(E5,BD_LVT!B:AG,14,0)=0,"Sim","Não")</f>
        <v>Sim</v>
      </c>
      <c r="M32" s="56"/>
      <c r="N32" s="55"/>
      <c r="O32" s="41"/>
    </row>
    <row r="33" spans="1:15" x14ac:dyDescent="0.25">
      <c r="A33" s="59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55"/>
      <c r="O33" s="41"/>
    </row>
    <row r="34" spans="1:15" x14ac:dyDescent="0.25">
      <c r="A34" s="59" t="s">
        <v>47</v>
      </c>
      <c r="B34" s="40"/>
      <c r="C34" s="40"/>
      <c r="D34" s="40"/>
      <c r="E34" s="40"/>
      <c r="F34" s="40"/>
      <c r="G34" s="40"/>
      <c r="H34" s="40"/>
      <c r="I34" s="40"/>
      <c r="J34" s="40"/>
      <c r="K34" s="40"/>
      <c r="L34" s="102" t="str">
        <f>IF(VLOOKUP(E5,BD_LVT!B:AG,15,0)=0,"Não","Sim")</f>
        <v>Não</v>
      </c>
      <c r="M34" s="94"/>
      <c r="N34" s="55"/>
      <c r="O34" s="41"/>
    </row>
    <row r="35" spans="1:15" ht="5.25" customHeight="1" x14ac:dyDescent="0.25">
      <c r="A35" s="59"/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56"/>
      <c r="M35" s="56"/>
      <c r="N35" s="55"/>
      <c r="O35" s="41"/>
    </row>
    <row r="36" spans="1:15" x14ac:dyDescent="0.25">
      <c r="A36" s="59"/>
      <c r="B36" s="58" t="str">
        <f>IF(L34="Sim","A construtora possui estudos sobre a estabilidade e conservação da estrutura existente?","")</f>
        <v/>
      </c>
      <c r="C36" s="40"/>
      <c r="D36" s="40"/>
      <c r="E36" s="40"/>
      <c r="F36" s="40"/>
      <c r="G36" s="40"/>
      <c r="H36" s="40"/>
      <c r="I36" s="40"/>
      <c r="J36" s="40"/>
      <c r="K36" s="40"/>
      <c r="L36" s="56" t="str">
        <f>IF(VLOOKUP(E5,BD_LVT!B:AG,16,0)=0,"Sim","Não")</f>
        <v>Sim</v>
      </c>
      <c r="M36" s="56"/>
      <c r="N36" s="55"/>
      <c r="O36" s="41"/>
    </row>
    <row r="37" spans="1:15" x14ac:dyDescent="0.25">
      <c r="A37" s="59"/>
      <c r="B37" s="40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55"/>
      <c r="O37" s="41"/>
    </row>
    <row r="38" spans="1:15" x14ac:dyDescent="0.25">
      <c r="A38" s="59" t="s">
        <v>48</v>
      </c>
      <c r="B38" s="40"/>
      <c r="C38" s="40"/>
      <c r="D38" s="40"/>
      <c r="E38" s="40"/>
      <c r="F38" s="40"/>
      <c r="G38" s="40"/>
      <c r="H38" s="40"/>
      <c r="I38" s="40"/>
      <c r="J38" s="40"/>
      <c r="K38" s="40"/>
      <c r="L38" s="102" t="str">
        <f>IF(VLOOKUP(E5,BD_LVT!B:AG,17,0)=0,"Não","Sim")</f>
        <v>Não</v>
      </c>
      <c r="M38" s="94"/>
      <c r="N38" s="55"/>
      <c r="O38" s="41"/>
    </row>
    <row r="39" spans="1:15" ht="5.25" customHeight="1" x14ac:dyDescent="0.25">
      <c r="A39" s="40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56"/>
      <c r="M39" s="56"/>
      <c r="N39" s="55"/>
      <c r="O39" s="41"/>
    </row>
    <row r="40" spans="1:15" x14ac:dyDescent="0.25">
      <c r="A40" s="40"/>
      <c r="B40" s="58" t="str">
        <f>IF(L38="Sim","A construtora tem conhecimento sobre a estabilidade ou necessidade de contenção destes taludes?","")</f>
        <v/>
      </c>
      <c r="C40" s="40"/>
      <c r="D40" s="40"/>
      <c r="E40" s="40"/>
      <c r="F40" s="40"/>
      <c r="G40" s="40"/>
      <c r="H40" s="40"/>
      <c r="I40" s="40"/>
      <c r="J40" s="40"/>
      <c r="K40" s="40"/>
      <c r="L40" s="56" t="str">
        <f>IF(VLOOKUP(E5,BD_LVT!B:AG,18,0)=0,"Sim","Não")</f>
        <v>Sim</v>
      </c>
      <c r="M40" s="56"/>
      <c r="N40" s="55"/>
      <c r="O40" s="41"/>
    </row>
    <row r="41" spans="1:15" x14ac:dyDescent="0.25">
      <c r="A41" s="40"/>
      <c r="B41" s="40"/>
      <c r="C41" s="40"/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55"/>
      <c r="O41" s="41"/>
    </row>
    <row r="42" spans="1:15" x14ac:dyDescent="0.25">
      <c r="A42" s="59" t="s">
        <v>49</v>
      </c>
      <c r="B42" s="40"/>
      <c r="C42" s="40"/>
      <c r="D42" s="40"/>
      <c r="E42" s="40"/>
      <c r="F42" s="40"/>
      <c r="G42" s="40"/>
      <c r="H42" s="40"/>
      <c r="I42" s="40"/>
      <c r="J42" s="40"/>
      <c r="K42" s="40"/>
      <c r="L42" s="102" t="str">
        <f>IF(VLOOKUP(E5,BD_LVT!B:AG,19,0)=0,"Não","Sim")</f>
        <v>Não</v>
      </c>
      <c r="M42" s="94"/>
      <c r="N42" s="55"/>
      <c r="O42" s="41"/>
    </row>
    <row r="43" spans="1:15" ht="7.5" customHeight="1" x14ac:dyDescent="0.25">
      <c r="A43" s="59"/>
      <c r="B43" s="40"/>
      <c r="C43" s="40"/>
      <c r="D43" s="40"/>
      <c r="E43" s="40"/>
      <c r="F43" s="40"/>
      <c r="G43" s="40"/>
      <c r="H43" s="40"/>
      <c r="I43" s="40"/>
      <c r="J43" s="40"/>
      <c r="K43" s="40"/>
      <c r="L43" s="56"/>
      <c r="M43" s="56"/>
      <c r="N43" s="55"/>
      <c r="O43" s="41"/>
    </row>
    <row r="44" spans="1:15" x14ac:dyDescent="0.25">
      <c r="A44" s="59"/>
      <c r="B44" s="58" t="str">
        <f>IF(L42="Sim","A construtora tem conhecimento sobre alagamento no terreno?","")</f>
        <v/>
      </c>
      <c r="C44" s="40"/>
      <c r="D44" s="40"/>
      <c r="E44" s="40"/>
      <c r="F44" s="40"/>
      <c r="G44" s="40"/>
      <c r="H44" s="40"/>
      <c r="I44" s="40"/>
      <c r="J44" s="40"/>
      <c r="K44" s="40"/>
      <c r="L44" s="56" t="str">
        <f>IF(VLOOKUP(E5,BD_LVT!B:AG,20,0)=0,"Sim","Não")</f>
        <v>Sim</v>
      </c>
      <c r="M44" s="56"/>
      <c r="N44" s="55"/>
      <c r="O44" s="41"/>
    </row>
    <row r="45" spans="1:15" ht="7.5" customHeight="1" x14ac:dyDescent="0.25">
      <c r="A45" s="59"/>
      <c r="B45" s="58"/>
      <c r="C45" s="40"/>
      <c r="D45" s="40"/>
      <c r="E45" s="40"/>
      <c r="F45" s="40"/>
      <c r="G45" s="40"/>
      <c r="H45" s="40"/>
      <c r="I45" s="40"/>
      <c r="J45" s="40"/>
      <c r="K45" s="40"/>
      <c r="L45" s="56"/>
      <c r="M45" s="56"/>
      <c r="N45" s="55"/>
      <c r="O45" s="41"/>
    </row>
    <row r="46" spans="1:15" x14ac:dyDescent="0.25">
      <c r="A46" s="59"/>
      <c r="B46" s="58" t="str">
        <f>IF(L42="Sim","Estudos prévios de drenagem?","")</f>
        <v/>
      </c>
      <c r="C46" s="40"/>
      <c r="D46" s="40"/>
      <c r="E46" s="40"/>
      <c r="F46" s="40"/>
      <c r="G46" s="40"/>
      <c r="H46" s="40"/>
      <c r="I46" s="40"/>
      <c r="J46" s="40"/>
      <c r="K46" s="40"/>
      <c r="L46" s="56" t="str">
        <f>IF(VLOOKUP(E5,BD_LVT!B:AG,21,0)=0,"Não","Sim")</f>
        <v>Não</v>
      </c>
      <c r="M46" s="56"/>
      <c r="N46" s="55"/>
      <c r="O46" s="41"/>
    </row>
    <row r="47" spans="1:15" ht="7.5" customHeight="1" x14ac:dyDescent="0.25">
      <c r="A47" s="59"/>
      <c r="B47" s="58"/>
      <c r="C47" s="40"/>
      <c r="D47" s="40"/>
      <c r="E47" s="40"/>
      <c r="F47" s="40"/>
      <c r="G47" s="40"/>
      <c r="H47" s="40"/>
      <c r="I47" s="40"/>
      <c r="J47" s="40"/>
      <c r="K47" s="40"/>
      <c r="L47" s="56"/>
      <c r="M47" s="56"/>
      <c r="N47" s="55"/>
      <c r="O47" s="41"/>
    </row>
    <row r="48" spans="1:15" x14ac:dyDescent="0.25">
      <c r="A48" s="59"/>
      <c r="B48" s="58" t="str">
        <f>IF(L42="Sim","Sabe se terá necessidade de execução prévia das redes de drenagem?","")</f>
        <v/>
      </c>
      <c r="C48" s="40"/>
      <c r="D48" s="40"/>
      <c r="E48" s="40"/>
      <c r="F48" s="40"/>
      <c r="G48" s="40"/>
      <c r="H48" s="40"/>
      <c r="I48" s="40"/>
      <c r="J48" s="40"/>
      <c r="K48" s="40"/>
      <c r="L48" s="56" t="str">
        <f>IF(VLOOKUP(E5,BD_LVT!B:AG,22,0)=0,"Sim","Não")</f>
        <v>Sim</v>
      </c>
      <c r="M48" s="56"/>
      <c r="N48" s="55"/>
      <c r="O48" s="41"/>
    </row>
    <row r="49" spans="1:15" ht="7.5" customHeight="1" x14ac:dyDescent="0.25">
      <c r="A49" s="59"/>
      <c r="B49" s="58"/>
      <c r="C49" s="40"/>
      <c r="D49" s="40"/>
      <c r="E49" s="40"/>
      <c r="F49" s="40"/>
      <c r="G49" s="40"/>
      <c r="H49" s="40"/>
      <c r="I49" s="40"/>
      <c r="J49" s="40"/>
      <c r="K49" s="40"/>
      <c r="L49" s="56"/>
      <c r="M49" s="56"/>
      <c r="N49" s="55"/>
      <c r="O49" s="41"/>
    </row>
    <row r="50" spans="1:15" x14ac:dyDescent="0.25">
      <c r="A50" s="59"/>
      <c r="B50" s="58" t="str">
        <f>IF(L42="Sim","O terreno sofrerá elevação de cota?","")</f>
        <v/>
      </c>
      <c r="C50" s="40"/>
      <c r="D50" s="40"/>
      <c r="E50" s="40"/>
      <c r="F50" s="40"/>
      <c r="G50" s="40"/>
      <c r="H50" s="40"/>
      <c r="I50" s="40"/>
      <c r="J50" s="40"/>
      <c r="K50" s="40"/>
      <c r="L50" s="56" t="str">
        <f>IF(VLOOKUP(E5,BD_LVT!B:AG,23,0)=0,"Sim","Não")</f>
        <v>Sim</v>
      </c>
      <c r="M50" s="56"/>
      <c r="N50" s="55"/>
      <c r="O50" s="41"/>
    </row>
    <row r="51" spans="1:15" x14ac:dyDescent="0.25">
      <c r="A51" s="59"/>
      <c r="B51" s="40"/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55"/>
      <c r="O51" s="41"/>
    </row>
    <row r="52" spans="1:15" x14ac:dyDescent="0.25">
      <c r="A52" s="59" t="s">
        <v>50</v>
      </c>
      <c r="B52" s="40"/>
      <c r="C52" s="40"/>
      <c r="D52" s="40"/>
      <c r="E52" s="40"/>
      <c r="F52" s="40"/>
      <c r="G52" s="40"/>
      <c r="H52" s="40"/>
      <c r="I52" s="40"/>
      <c r="J52" s="40"/>
      <c r="K52" s="40"/>
      <c r="L52" s="102" t="str">
        <f>IF(VLOOKUP(E5,BD_LVT!B:AG,24,0)=0,"Sim","Não")</f>
        <v>Sim</v>
      </c>
      <c r="M52" s="94"/>
      <c r="N52" s="55"/>
      <c r="O52" s="41"/>
    </row>
    <row r="53" spans="1:15" ht="7.5" customHeight="1" x14ac:dyDescent="0.25">
      <c r="A53" s="59"/>
      <c r="B53" s="40"/>
      <c r="C53" s="40"/>
      <c r="D53" s="40"/>
      <c r="E53" s="40"/>
      <c r="F53" s="40"/>
      <c r="G53" s="40"/>
      <c r="H53" s="40"/>
      <c r="I53" s="40"/>
      <c r="J53" s="40"/>
      <c r="K53" s="40"/>
      <c r="L53" s="56"/>
      <c r="M53" s="56"/>
      <c r="N53" s="55"/>
      <c r="O53" s="41"/>
    </row>
    <row r="54" spans="1:15" x14ac:dyDescent="0.25">
      <c r="A54" s="59"/>
      <c r="B54" s="58" t="str">
        <f>IF(L52="Sim","A construtora já possui sondagens do terreno?","")</f>
        <v>A construtora já possui sondagens do terreno?</v>
      </c>
      <c r="C54" s="40"/>
      <c r="D54" s="40"/>
      <c r="E54" s="40"/>
      <c r="F54" s="40"/>
      <c r="G54" s="40"/>
      <c r="H54" s="40"/>
      <c r="I54" s="40"/>
      <c r="J54" s="40"/>
      <c r="K54" s="40"/>
      <c r="L54" s="56" t="str">
        <f>IF(VLOOKUP(E5,BD_LVT!B:AG,25,0)=0,"Não","Sim")</f>
        <v>Não</v>
      </c>
      <c r="M54" s="40"/>
      <c r="N54" s="55"/>
      <c r="O54" s="41"/>
    </row>
    <row r="55" spans="1:15" x14ac:dyDescent="0.25">
      <c r="A55" s="60"/>
      <c r="B55" s="60"/>
      <c r="C55" s="60"/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1"/>
      <c r="O55" s="41"/>
    </row>
    <row r="56" spans="1:15" x14ac:dyDescent="0.25">
      <c r="A56" s="40"/>
      <c r="B56" s="40"/>
      <c r="C56" s="40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1"/>
    </row>
    <row r="57" spans="1:15" x14ac:dyDescent="0.25">
      <c r="A57" s="40" t="s">
        <v>162</v>
      </c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1"/>
    </row>
    <row r="58" spans="1:15" x14ac:dyDescent="0.25">
      <c r="A58" s="50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2"/>
      <c r="O58" s="41"/>
    </row>
    <row r="59" spans="1:15" x14ac:dyDescent="0.25">
      <c r="A59" s="59" t="s">
        <v>52</v>
      </c>
      <c r="B59" s="40"/>
      <c r="C59" s="40"/>
      <c r="D59" s="40"/>
      <c r="E59" s="40"/>
      <c r="F59" s="40"/>
      <c r="G59" s="40"/>
      <c r="H59" s="40"/>
      <c r="I59" s="40"/>
      <c r="J59" s="40"/>
      <c r="K59" s="40"/>
      <c r="L59" s="102" t="str">
        <f>IF(VLOOKUP(E5,BD_LVT!B:AG,26,0)=0,"Não","Sim")</f>
        <v>Não</v>
      </c>
      <c r="M59" s="94"/>
      <c r="N59" s="55"/>
      <c r="O59" s="41"/>
    </row>
    <row r="60" spans="1:15" x14ac:dyDescent="0.25">
      <c r="A60" s="59"/>
      <c r="B60" s="40"/>
      <c r="C60" s="40"/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55"/>
      <c r="O60" s="41"/>
    </row>
    <row r="61" spans="1:15" x14ac:dyDescent="0.25">
      <c r="A61" s="59" t="s">
        <v>53</v>
      </c>
      <c r="B61" s="40"/>
      <c r="C61" s="40"/>
      <c r="D61" s="40"/>
      <c r="E61" s="40"/>
      <c r="F61" s="40"/>
      <c r="G61" s="40"/>
      <c r="H61" s="40"/>
      <c r="I61" s="40"/>
      <c r="J61" s="40"/>
      <c r="K61" s="40"/>
      <c r="L61" s="102" t="str">
        <f>IF(VLOOKUP(E5,BD_LVT!B:AG,27,0)=0,"Sim","Não")</f>
        <v>Sim</v>
      </c>
      <c r="M61" s="94"/>
      <c r="N61" s="55"/>
      <c r="O61" s="41"/>
    </row>
    <row r="62" spans="1:15" x14ac:dyDescent="0.25">
      <c r="A62" s="59"/>
      <c r="B62" s="40"/>
      <c r="C62" s="40"/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55"/>
      <c r="O62" s="41"/>
    </row>
    <row r="63" spans="1:15" x14ac:dyDescent="0.25">
      <c r="A63" s="59" t="s">
        <v>54</v>
      </c>
      <c r="B63" s="40"/>
      <c r="C63" s="40"/>
      <c r="D63" s="40"/>
      <c r="E63" s="40"/>
      <c r="F63" s="40"/>
      <c r="G63" s="40"/>
      <c r="H63" s="40"/>
      <c r="I63" s="40"/>
      <c r="J63" s="40"/>
      <c r="K63" s="40"/>
      <c r="L63" s="102" t="str">
        <f>IF(VLOOKUP(E5,BD_LVT!B:AG,28,0)=0,"Sim","Não")</f>
        <v>Sim</v>
      </c>
      <c r="M63" s="94"/>
      <c r="N63" s="55"/>
      <c r="O63" s="41"/>
    </row>
    <row r="64" spans="1:15" x14ac:dyDescent="0.25">
      <c r="A64" s="59"/>
      <c r="B64" s="40"/>
      <c r="C64" s="40"/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55"/>
      <c r="O64" s="41"/>
    </row>
    <row r="65" spans="1:28" x14ac:dyDescent="0.25">
      <c r="A65" s="62"/>
      <c r="B65" s="60"/>
      <c r="C65" s="60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1"/>
      <c r="O65" s="41"/>
    </row>
    <row r="66" spans="1:28" x14ac:dyDescent="0.25">
      <c r="A66" s="40"/>
      <c r="B66" s="40"/>
      <c r="C66" s="40"/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1"/>
    </row>
    <row r="67" spans="1:28" x14ac:dyDescent="0.25">
      <c r="A67" s="40"/>
      <c r="B67" s="40"/>
      <c r="C67" s="40"/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1"/>
    </row>
    <row r="68" spans="1:28" x14ac:dyDescent="0.25">
      <c r="A68" s="40"/>
      <c r="B68" s="40"/>
      <c r="C68" s="40"/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1"/>
    </row>
    <row r="69" spans="1:28" x14ac:dyDescent="0.25">
      <c r="A69" s="63"/>
      <c r="B69" s="63"/>
      <c r="C69" s="63"/>
      <c r="D69" s="63"/>
      <c r="E69" s="63"/>
      <c r="F69" s="63"/>
      <c r="G69" s="63"/>
      <c r="H69" s="63"/>
      <c r="I69" s="63"/>
      <c r="J69" s="63"/>
      <c r="K69" s="63"/>
      <c r="L69" s="63"/>
      <c r="M69" s="63"/>
      <c r="N69" s="63"/>
      <c r="O69" s="64"/>
    </row>
    <row r="70" spans="1:28" s="32" customFormat="1" x14ac:dyDescent="0.25"/>
    <row r="71" spans="1:28" s="24" customFormat="1" x14ac:dyDescent="0.25">
      <c r="A71" s="101" t="s">
        <v>55</v>
      </c>
      <c r="B71" s="101"/>
      <c r="C71" s="101"/>
      <c r="D71" s="101" t="s">
        <v>56</v>
      </c>
      <c r="E71" s="101"/>
      <c r="F71" s="101"/>
      <c r="G71" s="101"/>
      <c r="H71" s="101"/>
      <c r="I71" s="101"/>
      <c r="J71" s="101"/>
      <c r="K71" s="101"/>
      <c r="L71" s="101"/>
      <c r="M71" s="101"/>
      <c r="N71" s="101"/>
      <c r="O71" s="101"/>
      <c r="P71" s="101"/>
      <c r="Q71" s="101"/>
      <c r="R71" s="101"/>
      <c r="S71" s="101"/>
      <c r="T71" s="101"/>
      <c r="U71" s="101" t="s">
        <v>57</v>
      </c>
      <c r="V71" s="101"/>
      <c r="W71" s="101"/>
    </row>
    <row r="72" spans="1:28" s="24" customFormat="1" x14ac:dyDescent="0.25">
      <c r="A72" s="24">
        <v>1</v>
      </c>
      <c r="B72" s="24">
        <v>2</v>
      </c>
      <c r="C72" s="24">
        <v>3</v>
      </c>
      <c r="D72" s="24">
        <v>4</v>
      </c>
      <c r="E72" s="24">
        <v>5</v>
      </c>
      <c r="F72" s="24">
        <v>6</v>
      </c>
      <c r="G72" s="24">
        <v>7</v>
      </c>
      <c r="H72" s="24">
        <v>8</v>
      </c>
      <c r="I72" s="24">
        <v>9</v>
      </c>
      <c r="J72" s="24">
        <v>10</v>
      </c>
      <c r="K72" s="24">
        <v>11</v>
      </c>
      <c r="L72" s="24">
        <v>12</v>
      </c>
      <c r="M72" s="24">
        <v>13</v>
      </c>
      <c r="N72" s="24">
        <v>14</v>
      </c>
      <c r="O72" s="24">
        <v>15</v>
      </c>
      <c r="P72" s="24">
        <v>16</v>
      </c>
      <c r="Q72" s="24">
        <v>17</v>
      </c>
      <c r="R72" s="24">
        <v>18</v>
      </c>
      <c r="S72" s="24">
        <v>19</v>
      </c>
      <c r="T72" s="24">
        <v>20</v>
      </c>
      <c r="U72" s="24">
        <v>21</v>
      </c>
      <c r="V72" s="24">
        <v>22</v>
      </c>
      <c r="W72" s="24">
        <v>23</v>
      </c>
    </row>
    <row r="73" spans="1:28" s="24" customFormat="1" x14ac:dyDescent="0.25">
      <c r="A73" s="24">
        <f>IF(L13="A",0,IF(L13="B",1,IF(L13="C",2,IF(L13="D",3,4))))</f>
        <v>4</v>
      </c>
      <c r="B73" s="24">
        <f>IF(F15="Sim",2,IF(F15="Desconheço",1,IF(F15="","",0)))</f>
        <v>2</v>
      </c>
      <c r="C73" s="24">
        <f>IF(F17="Sim",2,IF(F17="Desconheço",1,IF(F17="","",0)))</f>
        <v>2</v>
      </c>
      <c r="D73" s="24">
        <f>IF(L22="Sim",1,0)</f>
        <v>0</v>
      </c>
      <c r="E73" s="24">
        <f>IF(L24="Não",1,0)</f>
        <v>1</v>
      </c>
      <c r="F73" s="24">
        <f>IF(L26="Sim",1,0)</f>
        <v>0</v>
      </c>
      <c r="G73" s="24">
        <f>IF(L28="Não",1,0)</f>
        <v>0</v>
      </c>
      <c r="H73" s="24">
        <f>IF(L30="Sim",1,0)</f>
        <v>0</v>
      </c>
      <c r="I73" s="24">
        <f>IF(L32="Não",1,0)</f>
        <v>0</v>
      </c>
      <c r="J73" s="24">
        <f>IF(L34="Sim",1,0)</f>
        <v>0</v>
      </c>
      <c r="K73" s="24">
        <f>IF(L36="Não",1,0)</f>
        <v>0</v>
      </c>
      <c r="L73" s="24">
        <f>IF(L38="Sim",1,0)</f>
        <v>0</v>
      </c>
      <c r="M73" s="24">
        <f>IF(L40="Não",1,0)</f>
        <v>0</v>
      </c>
      <c r="N73" s="24">
        <f>IF(L42="Sim",1,0)</f>
        <v>0</v>
      </c>
      <c r="O73" s="24">
        <f>IF(L44="Não",1,0)</f>
        <v>0</v>
      </c>
      <c r="P73" s="24">
        <f>IF(L46="Não",1,0)</f>
        <v>1</v>
      </c>
      <c r="Q73" s="24">
        <f>IF(L48="Não",1,0)</f>
        <v>0</v>
      </c>
      <c r="R73" s="24">
        <f>IF(L50="Não",0,1)</f>
        <v>1</v>
      </c>
      <c r="S73" s="24">
        <f>IF(L52="Sim",1,0)</f>
        <v>1</v>
      </c>
      <c r="T73" s="24">
        <f>IF(L54="Não",1,0)</f>
        <v>1</v>
      </c>
      <c r="U73" s="24">
        <f>IF(L59="Sim",0,1)</f>
        <v>1</v>
      </c>
      <c r="V73" s="24">
        <f>IF(L61="Sim",1,0)</f>
        <v>1</v>
      </c>
      <c r="W73" s="24">
        <f>IF(L63="Sim",0,1)</f>
        <v>0</v>
      </c>
    </row>
    <row r="74" spans="1:28" s="24" customFormat="1" x14ac:dyDescent="0.25">
      <c r="A74" s="103">
        <v>0.4</v>
      </c>
      <c r="B74" s="101"/>
      <c r="C74" s="101"/>
      <c r="D74" s="103">
        <v>0.4</v>
      </c>
      <c r="E74" s="103"/>
      <c r="F74" s="103"/>
      <c r="G74" s="103"/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/>
      <c r="U74" s="103">
        <v>0.2</v>
      </c>
      <c r="V74" s="103"/>
      <c r="W74" s="103"/>
      <c r="Z74" s="101" t="s">
        <v>58</v>
      </c>
      <c r="AA74" s="101"/>
      <c r="AB74" s="101"/>
    </row>
    <row r="75" spans="1:28" s="24" customFormat="1" x14ac:dyDescent="0.25">
      <c r="A75" s="101">
        <f>SUM(A73:C73)</f>
        <v>8</v>
      </c>
      <c r="B75" s="101"/>
      <c r="C75" s="101"/>
      <c r="D75" s="101">
        <f>SUM(D73:J73)</f>
        <v>1</v>
      </c>
      <c r="E75" s="101"/>
      <c r="F75" s="101"/>
      <c r="G75" s="101"/>
      <c r="H75" s="101"/>
      <c r="I75" s="101"/>
      <c r="J75" s="101"/>
      <c r="K75" s="101"/>
      <c r="L75" s="101"/>
      <c r="M75" s="101"/>
      <c r="N75" s="101"/>
      <c r="O75" s="101"/>
      <c r="P75" s="101"/>
      <c r="Q75" s="101"/>
      <c r="R75" s="101"/>
      <c r="S75" s="101"/>
      <c r="T75" s="101"/>
      <c r="U75" s="101">
        <f>SUM(K73:N73)</f>
        <v>0</v>
      </c>
      <c r="V75" s="101"/>
      <c r="W75" s="101"/>
      <c r="Z75" s="38" t="s">
        <v>59</v>
      </c>
      <c r="AB75" s="24" t="s">
        <v>60</v>
      </c>
    </row>
    <row r="76" spans="1:28" s="24" customFormat="1" x14ac:dyDescent="0.25">
      <c r="A76" s="101">
        <f>A75*100/7*A74</f>
        <v>45.714285714285722</v>
      </c>
      <c r="B76" s="101"/>
      <c r="C76" s="101"/>
      <c r="D76" s="101">
        <f>D75*100/7*D74</f>
        <v>5.7142857142857153</v>
      </c>
      <c r="E76" s="101"/>
      <c r="F76" s="101"/>
      <c r="G76" s="101"/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01"/>
      <c r="S76" s="101"/>
      <c r="T76" s="101"/>
      <c r="U76" s="101">
        <f>U75*100/4*U74</f>
        <v>0</v>
      </c>
      <c r="V76" s="101"/>
      <c r="W76" s="101"/>
      <c r="Z76" s="38" t="s">
        <v>61</v>
      </c>
      <c r="AB76" s="24" t="s">
        <v>62</v>
      </c>
    </row>
    <row r="77" spans="1:28" s="24" customFormat="1" x14ac:dyDescent="0.25">
      <c r="A77" s="101">
        <f>SUM(A76:W76)</f>
        <v>51.428571428571438</v>
      </c>
      <c r="B77" s="101"/>
      <c r="C77" s="101"/>
      <c r="D77" s="101"/>
      <c r="E77" s="101"/>
      <c r="F77" s="101"/>
      <c r="G77" s="101"/>
      <c r="H77" s="101"/>
      <c r="I77" s="101"/>
      <c r="J77" s="101"/>
      <c r="K77" s="101"/>
      <c r="L77" s="101"/>
      <c r="M77" s="101"/>
      <c r="N77" s="101"/>
      <c r="O77" s="101"/>
      <c r="P77" s="101"/>
      <c r="Q77" s="101"/>
      <c r="R77" s="101"/>
      <c r="S77" s="101"/>
      <c r="T77" s="101"/>
      <c r="U77" s="101"/>
      <c r="V77" s="101"/>
      <c r="W77" s="101"/>
      <c r="Z77" s="38" t="s">
        <v>63</v>
      </c>
      <c r="AB77" s="24" t="s">
        <v>64</v>
      </c>
    </row>
    <row r="78" spans="1:28" s="24" customFormat="1" x14ac:dyDescent="0.25">
      <c r="A78" s="101" t="str">
        <f>IF(A77&gt;80,"RISCO MUITO ALTO",IF(A77&lt;20,"RISCO MUITO BAIXO",IF(AND(A77&gt;=40,A77&lt;60),"RISCO MÉDIO",IF(AND(A77&gt;=60,A77&lt;80),"RISCO ALTO","RISCO BAIXO"))))</f>
        <v>RISCO MÉDIO</v>
      </c>
      <c r="B78" s="101"/>
      <c r="C78" s="101"/>
      <c r="D78" s="101"/>
      <c r="E78" s="101"/>
      <c r="F78" s="101"/>
      <c r="G78" s="101"/>
      <c r="H78" s="101"/>
      <c r="I78" s="101"/>
      <c r="J78" s="101"/>
      <c r="K78" s="101"/>
      <c r="L78" s="101"/>
      <c r="M78" s="101"/>
      <c r="N78" s="101"/>
      <c r="O78" s="101"/>
      <c r="P78" s="101"/>
      <c r="Q78" s="101"/>
      <c r="R78" s="101"/>
      <c r="S78" s="101"/>
      <c r="T78" s="101"/>
      <c r="U78" s="101"/>
      <c r="V78" s="101"/>
      <c r="W78" s="101"/>
      <c r="Z78" s="38" t="s">
        <v>65</v>
      </c>
      <c r="AB78" s="24" t="s">
        <v>66</v>
      </c>
    </row>
    <row r="79" spans="1:28" s="24" customFormat="1" x14ac:dyDescent="0.25">
      <c r="Z79" s="38" t="s">
        <v>67</v>
      </c>
      <c r="AB79" s="24" t="s">
        <v>68</v>
      </c>
    </row>
    <row r="80" spans="1:28" s="32" customFormat="1" x14ac:dyDescent="0.25"/>
  </sheetData>
  <mergeCells count="33">
    <mergeCell ref="L38:M38"/>
    <mergeCell ref="A2:O2"/>
    <mergeCell ref="E5:F5"/>
    <mergeCell ref="K5:M5"/>
    <mergeCell ref="G8:I8"/>
    <mergeCell ref="F13:J13"/>
    <mergeCell ref="F15:G15"/>
    <mergeCell ref="F17:G17"/>
    <mergeCell ref="L22:M22"/>
    <mergeCell ref="L26:M26"/>
    <mergeCell ref="L30:M30"/>
    <mergeCell ref="L34:M34"/>
    <mergeCell ref="L28:M28"/>
    <mergeCell ref="A71:C71"/>
    <mergeCell ref="D71:T71"/>
    <mergeCell ref="U71:W71"/>
    <mergeCell ref="A74:C74"/>
    <mergeCell ref="D74:T74"/>
    <mergeCell ref="U74:W74"/>
    <mergeCell ref="L42:M42"/>
    <mergeCell ref="L52:M52"/>
    <mergeCell ref="L59:M59"/>
    <mergeCell ref="L61:M61"/>
    <mergeCell ref="L63:M63"/>
    <mergeCell ref="A78:W78"/>
    <mergeCell ref="Z74:AB74"/>
    <mergeCell ref="A76:C76"/>
    <mergeCell ref="D76:T76"/>
    <mergeCell ref="U76:W76"/>
    <mergeCell ref="A77:W77"/>
    <mergeCell ref="A75:C75"/>
    <mergeCell ref="D75:T75"/>
    <mergeCell ref="U75:W75"/>
  </mergeCells>
  <conditionalFormatting sqref="L24">
    <cfRule type="expression" dxfId="9" priority="10">
      <formula>$L$22="Sim"</formula>
    </cfRule>
  </conditionalFormatting>
  <conditionalFormatting sqref="L28">
    <cfRule type="expression" dxfId="8" priority="9">
      <formula>$L$26="Sim"</formula>
    </cfRule>
  </conditionalFormatting>
  <conditionalFormatting sqref="L32">
    <cfRule type="expression" dxfId="7" priority="8">
      <formula>$L$30="Sim"</formula>
    </cfRule>
  </conditionalFormatting>
  <conditionalFormatting sqref="L36">
    <cfRule type="expression" dxfId="6" priority="7">
      <formula>$L$34="Sim"</formula>
    </cfRule>
  </conditionalFormatting>
  <conditionalFormatting sqref="L40">
    <cfRule type="expression" dxfId="5" priority="6">
      <formula>$L$38="Sim"</formula>
    </cfRule>
  </conditionalFormatting>
  <conditionalFormatting sqref="L44">
    <cfRule type="expression" dxfId="4" priority="5">
      <formula>$L$42="Sim"</formula>
    </cfRule>
  </conditionalFormatting>
  <conditionalFormatting sqref="L46">
    <cfRule type="expression" dxfId="3" priority="4">
      <formula>$L$42="Sim"</formula>
    </cfRule>
  </conditionalFormatting>
  <conditionalFormatting sqref="L48">
    <cfRule type="expression" dxfId="2" priority="3">
      <formula>$L$42="Sim"</formula>
    </cfRule>
  </conditionalFormatting>
  <conditionalFormatting sqref="L50">
    <cfRule type="expression" dxfId="1" priority="2">
      <formula>$L$42="Sim"</formula>
    </cfRule>
  </conditionalFormatting>
  <conditionalFormatting sqref="L54">
    <cfRule type="expression" dxfId="0" priority="1">
      <formula>$L$52="Sim"</formula>
    </cfRule>
  </conditionalFormatting>
  <dataValidations count="2">
    <dataValidation type="list" allowBlank="1" showInputMessage="1" showErrorMessage="1" sqref="M23 M31:M32 M35:M36 M39:M40 L53:M53 M27" xr:uid="{A57F6AE8-12B4-4D52-A495-E01B2F12F5AC}">
      <formula1>$T$1:$T$2</formula1>
    </dataValidation>
    <dataValidation type="list" allowBlank="1" showInputMessage="1" showErrorMessage="1" sqref="M43:M50" xr:uid="{DC4D6D1B-CF73-48FC-812D-807CD907347D}">
      <formula1>$T$1:$T$3</formula1>
    </dataValidation>
  </dataValidations>
  <pageMargins left="0.511811024" right="0.511811024" top="0.78740157499999996" bottom="0.78740157499999996" header="0.31496062000000002" footer="0.3149606200000000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94FA91B-74C5-4CE0-B9F9-4B3D33D0B8D1}">
          <x14:formula1>
            <xm:f>BD_LVT!$B:$B</xm:f>
          </x14:formula1>
          <xm:sqref>E5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00C2F4A663E95439766E4BAF929BE94" ma:contentTypeVersion="21" ma:contentTypeDescription="Crie um novo documento." ma:contentTypeScope="" ma:versionID="459371489d3d9949eec291e125d152ce">
  <xsd:schema xmlns:xsd="http://www.w3.org/2001/XMLSchema" xmlns:xs="http://www.w3.org/2001/XMLSchema" xmlns:p="http://schemas.microsoft.com/office/2006/metadata/properties" xmlns:ns1="http://schemas.microsoft.com/sharepoint/v3" xmlns:ns2="4d49f024-2b9e-4fac-84e4-21a9320c6743" xmlns:ns3="f170229e-3cb7-48cb-8427-fab076751d8a" targetNamespace="http://schemas.microsoft.com/office/2006/metadata/properties" ma:root="true" ma:fieldsID="e14c5c51293355df3057dc53aa0751f4" ns1:_="" ns2:_="" ns3:_="">
    <xsd:import namespace="http://schemas.microsoft.com/sharepoint/v3"/>
    <xsd:import namespace="4d49f024-2b9e-4fac-84e4-21a9320c6743"/>
    <xsd:import namespace="f170229e-3cb7-48cb-8427-fab076751d8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1:_ip_UnifiedCompliancePolicyProperties" minOccurs="0"/>
                <xsd:element ref="ns1:_ip_UnifiedCompliancePolicyUIAction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_Flow_SignoffStatu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5" nillable="true" ma:displayName="Propriedades da Política de Conformidade Unificada" ma:hidden="true" ma:internalName="_ip_UnifiedCompliancePolicyProperties">
      <xsd:simpleType>
        <xsd:restriction base="dms:Note"/>
      </xsd:simpleType>
    </xsd:element>
    <xsd:element name="_ip_UnifiedCompliancePolicyUIAction" ma:index="16" nillable="true" ma:displayName="Ação de Interface do Usuário da Política de Conformidade Unificada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49f024-2b9e-4fac-84e4-21a9320c67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3" nillable="true" ma:taxonomy="true" ma:internalName="lcf76f155ced4ddcb4097134ff3c332f" ma:taxonomyFieldName="MediaServiceImageTags" ma:displayName="Marcações de imagem" ma:readOnly="false" ma:fieldId="{5cf76f15-5ced-4ddc-b409-7134ff3c332f}" ma:taxonomyMulti="true" ma:sspId="4faff722-0fb5-4c44-9338-8716c187939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5" nillable="true" ma:displayName="Location" ma:internalName="MediaServiceLocation" ma:readOnly="true">
      <xsd:simpleType>
        <xsd:restriction base="dms:Text"/>
      </xsd:simpleType>
    </xsd:element>
    <xsd:element name="_Flow_SignoffStatus" ma:index="26" nillable="true" ma:displayName="Status de liberação" ma:internalName="Status_x0020_de_x0020_libera_x00e7__x00e3_o">
      <xsd:simpleType>
        <xsd:restriction base="dms:Text"/>
      </xsd:simple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70229e-3cb7-48cb-8427-fab076751d8a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31162b2b-2104-4dc4-8da1-a0fb6ec4ed45}" ma:internalName="TaxCatchAll" ma:showField="CatchAllData" ma:web="f170229e-3cb7-48cb-8427-fab076751d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Flow_SignoffStatus xmlns="4d49f024-2b9e-4fac-84e4-21a9320c6743" xsi:nil="true"/>
    <_ip_UnifiedCompliancePolicyProperties xmlns="http://schemas.microsoft.com/sharepoint/v3" xsi:nil="true"/>
    <TaxCatchAll xmlns="f170229e-3cb7-48cb-8427-fab076751d8a" xsi:nil="true"/>
    <lcf76f155ced4ddcb4097134ff3c332f xmlns="4d49f024-2b9e-4fac-84e4-21a9320c674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A0DF0F1-0522-45AE-9D4F-06921D85C8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4d49f024-2b9e-4fac-84e4-21a9320c6743"/>
    <ds:schemaRef ds:uri="f170229e-3cb7-48cb-8427-fab076751d8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4741B9B-8CEB-49F3-AE6F-4E9C482B094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12FD156-09B8-4818-998E-F175330BDA41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4d49f024-2b9e-4fac-84e4-21a9320c6743"/>
    <ds:schemaRef ds:uri="f170229e-3cb7-48cb-8427-fab076751d8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NovoLVT</vt:lpstr>
      <vt:lpstr>AvaliaLVT</vt:lpstr>
      <vt:lpstr>BD_LVT</vt:lpstr>
      <vt:lpstr>Empresas</vt:lpstr>
      <vt:lpstr>Ver_Avaliação</vt:lpstr>
    </vt:vector>
  </TitlesOfParts>
  <Manager/>
  <Company>Caixa Economica Federal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 Cruzeiro da Silva</dc:creator>
  <cp:keywords/>
  <dc:description/>
  <cp:lastModifiedBy>Andre Cruzeiro da Silva</cp:lastModifiedBy>
  <cp:revision/>
  <dcterms:created xsi:type="dcterms:W3CDTF">2025-05-02T18:38:16Z</dcterms:created>
  <dcterms:modified xsi:type="dcterms:W3CDTF">2025-10-31T18:58:07Z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1a47ad8-907a-4afd-bc2a-6b2ee4f96f0c_Enabled">
    <vt:lpwstr>true</vt:lpwstr>
  </property>
  <property fmtid="{D5CDD505-2E9C-101B-9397-08002B2CF9AE}" pid="3" name="MSIP_Label_f1a47ad8-907a-4afd-bc2a-6b2ee4f96f0c_SetDate">
    <vt:lpwstr>2025-05-02T20:15:55Z</vt:lpwstr>
  </property>
  <property fmtid="{D5CDD505-2E9C-101B-9397-08002B2CF9AE}" pid="4" name="MSIP_Label_f1a47ad8-907a-4afd-bc2a-6b2ee4f96f0c_Method">
    <vt:lpwstr>Privileged</vt:lpwstr>
  </property>
  <property fmtid="{D5CDD505-2E9C-101B-9397-08002B2CF9AE}" pid="5" name="MSIP_Label_f1a47ad8-907a-4afd-bc2a-6b2ee4f96f0c_Name">
    <vt:lpwstr>#EXTERNO_CONFIDENCIAL</vt:lpwstr>
  </property>
  <property fmtid="{D5CDD505-2E9C-101B-9397-08002B2CF9AE}" pid="6" name="MSIP_Label_f1a47ad8-907a-4afd-bc2a-6b2ee4f96f0c_SiteId">
    <vt:lpwstr>ab9bba98-684a-43fb-add8-9c2bebede229</vt:lpwstr>
  </property>
  <property fmtid="{D5CDD505-2E9C-101B-9397-08002B2CF9AE}" pid="7" name="MSIP_Label_f1a47ad8-907a-4afd-bc2a-6b2ee4f96f0c_ActionId">
    <vt:lpwstr>b3d2cf7b-8226-497c-bfad-84bc8d4c86aa</vt:lpwstr>
  </property>
  <property fmtid="{D5CDD505-2E9C-101B-9397-08002B2CF9AE}" pid="8" name="MSIP_Label_f1a47ad8-907a-4afd-bc2a-6b2ee4f96f0c_ContentBits">
    <vt:lpwstr>3</vt:lpwstr>
  </property>
  <property fmtid="{D5CDD505-2E9C-101B-9397-08002B2CF9AE}" pid="9" name="ContentTypeId">
    <vt:lpwstr>0x010100C00C2F4A663E95439766E4BAF929BE94</vt:lpwstr>
  </property>
  <property fmtid="{D5CDD505-2E9C-101B-9397-08002B2CF9AE}" pid="10" name="MediaServiceImageTags">
    <vt:lpwstr/>
  </property>
</Properties>
</file>